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25" windowWidth="12120" windowHeight="9615" tabRatio="90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<sst xmlns="http://schemas.openxmlformats.org/spreadsheetml/2006/main" count="142" uniqueCount="91">
  <si>
    <t>Name</t>
  </si>
  <si>
    <t>Symbol</t>
  </si>
  <si>
    <t>Totals</t>
  </si>
  <si>
    <t>Date Added</t>
  </si>
  <si>
    <t>Date Modified</t>
  </si>
  <si>
    <t>Original Price</t>
  </si>
  <si>
    <t>Current Price</t>
  </si>
  <si>
    <t>Difference %</t>
  </si>
  <si>
    <t>Current Daily Change</t>
  </si>
  <si>
    <t>% Daily Change</t>
  </si>
  <si>
    <t>Original  Value</t>
  </si>
  <si>
    <t>Current Value</t>
  </si>
  <si>
    <t>cash</t>
  </si>
  <si>
    <t>Current % of Portfolio</t>
  </si>
  <si>
    <t>% Gain /Loss</t>
  </si>
  <si>
    <t># of shares based on Your Investment $s</t>
  </si>
  <si>
    <t>Your Target Investment Amt</t>
  </si>
  <si>
    <t>Enter the total amount you plan to invest in the yellow cell below.  The number of shares for each stock for that total portfolio amount will be indicated in the green column.</t>
  </si>
  <si>
    <t>Gain/ Loss</t>
  </si>
  <si>
    <t># of Shares in Original Portfolio</t>
  </si>
  <si>
    <t>MTD</t>
  </si>
  <si>
    <t>Current Cost Basis</t>
  </si>
  <si>
    <t>As of close of:</t>
  </si>
  <si>
    <t>Since 3/1/07</t>
  </si>
  <si>
    <t>QTD</t>
  </si>
  <si>
    <t>YTD</t>
  </si>
  <si>
    <t>MDD</t>
  </si>
  <si>
    <t>DLS</t>
  </si>
  <si>
    <t>PDN</t>
  </si>
  <si>
    <t>DEM</t>
  </si>
  <si>
    <t>RSU</t>
  </si>
  <si>
    <t>MVV</t>
  </si>
  <si>
    <t>SAA</t>
  </si>
  <si>
    <t>Since 12/31/07</t>
  </si>
  <si>
    <t>Action</t>
  </si>
  <si>
    <t># of shrs</t>
  </si>
  <si>
    <t>Sym</t>
  </si>
  <si>
    <t>Price</t>
  </si>
  <si>
    <t>Total</t>
  </si>
  <si>
    <t>Tgt Amount</t>
  </si>
  <si>
    <t>Shares</t>
  </si>
  <si>
    <t>total</t>
  </si>
  <si>
    <t>Remainder</t>
  </si>
  <si>
    <t>Date</t>
  </si>
  <si>
    <t>sell</t>
  </si>
  <si>
    <t>Sell</t>
  </si>
  <si>
    <t>dol</t>
  </si>
  <si>
    <t>mdd</t>
  </si>
  <si>
    <t>dls</t>
  </si>
  <si>
    <t>dem</t>
  </si>
  <si>
    <t>IDV</t>
  </si>
  <si>
    <t>SCZ</t>
  </si>
  <si>
    <t>VWO</t>
  </si>
  <si>
    <t>change</t>
  </si>
  <si>
    <t>Since 12/31/08</t>
  </si>
  <si>
    <t>DNL</t>
  </si>
  <si>
    <t>scz</t>
  </si>
  <si>
    <t>pdn</t>
  </si>
  <si>
    <t>XGC</t>
  </si>
  <si>
    <t>GWX</t>
  </si>
  <si>
    <t>Since 12/31/09</t>
  </si>
  <si>
    <t>Since 12/31/10</t>
  </si>
  <si>
    <t>PIZ</t>
  </si>
  <si>
    <t>PIE</t>
  </si>
  <si>
    <t>WMW</t>
  </si>
  <si>
    <t>VB</t>
  </si>
  <si>
    <t>Since 12/31/11</t>
  </si>
  <si>
    <t>na</t>
  </si>
  <si>
    <t>VEA</t>
  </si>
  <si>
    <t>ECON</t>
  </si>
  <si>
    <t>PKW</t>
  </si>
  <si>
    <t>CSD</t>
  </si>
  <si>
    <t>RWJ</t>
  </si>
  <si>
    <t>iShares MSCI EAFE Small-Cap</t>
  </si>
  <si>
    <t>Since 12/31/12</t>
  </si>
  <si>
    <t>PID</t>
  </si>
  <si>
    <t>DAY</t>
  </si>
  <si>
    <t>Since 12/31/13</t>
  </si>
  <si>
    <t>Since 12/31/14</t>
  </si>
  <si>
    <t>iShares Edge MSCI Min Vol EFAE</t>
  </si>
  <si>
    <t>EFAV</t>
  </si>
  <si>
    <t>PowerShares Emerging Mkt Sov Deb</t>
  </si>
  <si>
    <t>PCY</t>
  </si>
  <si>
    <t xml:space="preserve">SPDR S&amp;P 500 </t>
  </si>
  <si>
    <t>SPY</t>
  </si>
  <si>
    <t>Wisdom Tree Midcap Earnings</t>
  </si>
  <si>
    <t>EZM</t>
  </si>
  <si>
    <t>SPDR Russell 2000 Low Vol</t>
  </si>
  <si>
    <t>SMLV</t>
  </si>
  <si>
    <t>AC WORLD INDEX IMI (Large+Mid+Small Cap)</t>
  </si>
  <si>
    <t>Since 12/31/15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</si>
</sst>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quot;#,##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43">
    <font>
      <sz val="10"/>
      <name val="Arial"/>
      <family val="0"/>
    </font>
    <font>
      <sz val="11"/>
      <color indexed="8"/>
      <name val="Calibri"/>
      <family val="2"/>
    </font>
    <font>
      <b/>
      <sz val="10"/>
      <name val="Arial Narrow"/>
      <family val="2"/>
    </font>
    <font>
      <sz val="10"/>
      <name val="Arial Narrow"/>
      <family val="2"/>
    </font>
    <font>
      <b/>
      <sz val="9"/>
      <name val="Arial Narrow"/>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border>
    <border>
      <left style="thin"/>
      <right/>
      <top style="thin"/>
      <bottom style="thin"/>
    </border>
    <border>
      <left style="thin"/>
      <right/>
      <top/>
      <bottom/>
    </border>
    <border>
      <left/>
      <right/>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2">
    <xf numFmtId="0" fontId="0" fillId="0" borderId="0" xfId="0" applyAlignment="1">
      <alignment/>
    </xf>
    <xf numFmtId="165" fontId="3" fillId="33" borderId="10" xfId="0" applyNumberFormat="1" applyFont="1" applyFill="1" applyBorder="1" applyAlignment="1" applyProtection="1">
      <alignment horizontal="center"/>
      <protection locked="0"/>
    </xf>
    <xf numFmtId="0" fontId="3" fillId="0" borderId="0" xfId="0" applyFont="1" applyAlignment="1" applyProtection="1">
      <alignment horizontal="center"/>
      <protection locked="0"/>
    </xf>
    <xf numFmtId="10" fontId="3" fillId="0" borderId="0" xfId="0" applyNumberFormat="1" applyFont="1" applyAlignment="1" applyProtection="1">
      <alignment horizontal="center"/>
      <protection locked="0"/>
    </xf>
    <xf numFmtId="1" fontId="3" fillId="0" borderId="0" xfId="0" applyNumberFormat="1" applyFont="1" applyAlignment="1" applyProtection="1">
      <alignment horizontal="center"/>
      <protection locked="0"/>
    </xf>
    <xf numFmtId="4" fontId="3" fillId="0" borderId="0" xfId="0" applyNumberFormat="1" applyFont="1" applyAlignment="1" applyProtection="1">
      <alignment horizontal="center"/>
      <protection locked="0"/>
    </xf>
    <xf numFmtId="165" fontId="4" fillId="0" borderId="11" xfId="0" applyNumberFormat="1" applyFont="1" applyFill="1" applyBorder="1" applyAlignment="1" applyProtection="1">
      <alignment horizontal="center" wrapText="1"/>
      <protection locked="0"/>
    </xf>
    <xf numFmtId="0" fontId="2" fillId="0" borderId="0" xfId="0" applyFont="1" applyAlignment="1" applyProtection="1">
      <alignment horizontal="center"/>
      <protection locked="0"/>
    </xf>
    <xf numFmtId="1" fontId="2" fillId="0" borderId="0" xfId="0" applyNumberFormat="1" applyFont="1" applyAlignment="1" applyProtection="1">
      <alignment horizontal="center" wrapText="1"/>
      <protection locked="0"/>
    </xf>
    <xf numFmtId="165" fontId="3" fillId="0" borderId="0" xfId="0" applyNumberFormat="1" applyFont="1" applyAlignment="1" applyProtection="1">
      <alignment horizontal="center"/>
      <protection locked="0"/>
    </xf>
    <xf numFmtId="1" fontId="4" fillId="34" borderId="12" xfId="0" applyNumberFormat="1" applyFont="1" applyFill="1" applyBorder="1" applyAlignment="1" applyProtection="1">
      <alignment horizontal="center" wrapText="1"/>
      <protection/>
    </xf>
    <xf numFmtId="1" fontId="3" fillId="0" borderId="0" xfId="0" applyNumberFormat="1" applyFont="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Alignment="1" applyProtection="1">
      <alignment horizontal="center"/>
      <protection/>
    </xf>
    <xf numFmtId="164" fontId="2" fillId="0" borderId="0" xfId="0" applyNumberFormat="1" applyFont="1" applyAlignment="1" applyProtection="1">
      <alignment horizontal="center" wrapText="1"/>
      <protection/>
    </xf>
    <xf numFmtId="165" fontId="2" fillId="0" borderId="0" xfId="0" applyNumberFormat="1" applyFont="1" applyAlignment="1" applyProtection="1">
      <alignment horizontal="center" wrapText="1"/>
      <protection/>
    </xf>
    <xf numFmtId="10" fontId="2" fillId="0" borderId="0" xfId="0" applyNumberFormat="1" applyFont="1" applyAlignment="1" applyProtection="1">
      <alignment horizontal="center" wrapText="1"/>
      <protection/>
    </xf>
    <xf numFmtId="0" fontId="3" fillId="0" borderId="13" xfId="0" applyFont="1" applyBorder="1" applyAlignment="1" applyProtection="1">
      <alignment horizontal="center"/>
      <protection/>
    </xf>
    <xf numFmtId="0" fontId="3" fillId="0" borderId="0" xfId="0" applyFont="1" applyAlignment="1" applyProtection="1">
      <alignment horizontal="center"/>
      <protection/>
    </xf>
    <xf numFmtId="10" fontId="3" fillId="0" borderId="0" xfId="0" applyNumberFormat="1" applyFont="1" applyAlignment="1" applyProtection="1">
      <alignment horizontal="center"/>
      <protection/>
    </xf>
    <xf numFmtId="164" fontId="3" fillId="0" borderId="0" xfId="0" applyNumberFormat="1" applyFont="1" applyAlignment="1" applyProtection="1">
      <alignment horizontal="center"/>
      <protection/>
    </xf>
    <xf numFmtId="165" fontId="3" fillId="0" borderId="0" xfId="0" applyNumberFormat="1" applyFont="1" applyAlignment="1" applyProtection="1">
      <alignment horizontal="center"/>
      <protection/>
    </xf>
    <xf numFmtId="4" fontId="2" fillId="0" borderId="0" xfId="0" applyNumberFormat="1" applyFont="1" applyAlignment="1" applyProtection="1">
      <alignment horizontal="center" wrapText="1"/>
      <protection/>
    </xf>
    <xf numFmtId="4" fontId="3" fillId="0" borderId="0" xfId="0" applyNumberFormat="1" applyFont="1" applyAlignment="1" applyProtection="1">
      <alignment horizontal="center"/>
      <protection/>
    </xf>
    <xf numFmtId="0" fontId="3" fillId="35" borderId="0" xfId="0" applyFont="1" applyFill="1" applyAlignment="1" applyProtection="1">
      <alignment horizontal="center"/>
      <protection locked="0"/>
    </xf>
    <xf numFmtId="10" fontId="3" fillId="35" borderId="0" xfId="0" applyNumberFormat="1" applyFont="1" applyFill="1" applyAlignment="1" applyProtection="1">
      <alignment horizontal="center"/>
      <protection locked="0"/>
    </xf>
    <xf numFmtId="14" fontId="3" fillId="0" borderId="0" xfId="0" applyNumberFormat="1" applyFont="1" applyAlignment="1" applyProtection="1">
      <alignment horizontal="center"/>
      <protection/>
    </xf>
    <xf numFmtId="10" fontId="0" fillId="0" borderId="0" xfId="0" applyNumberFormat="1" applyAlignment="1">
      <alignment/>
    </xf>
    <xf numFmtId="0" fontId="3" fillId="0" borderId="0" xfId="0" applyFont="1" applyBorder="1" applyAlignment="1" applyProtection="1">
      <alignment horizontal="center"/>
      <protection/>
    </xf>
    <xf numFmtId="14" fontId="3" fillId="0" borderId="0" xfId="0" applyNumberFormat="1" applyFont="1" applyAlignment="1" applyProtection="1">
      <alignment horizontal="center"/>
      <protection locked="0"/>
    </xf>
    <xf numFmtId="2" fontId="3" fillId="0" borderId="0" xfId="0" applyNumberFormat="1" applyFont="1" applyAlignment="1" applyProtection="1">
      <alignment horizontal="center"/>
      <protection locked="0"/>
    </xf>
    <xf numFmtId="165" fontId="0" fillId="0" borderId="0" xfId="0" applyNumberFormat="1" applyAlignment="1">
      <alignment/>
    </xf>
    <xf numFmtId="165" fontId="0" fillId="0" borderId="0" xfId="0" applyNumberFormat="1" applyAlignment="1">
      <alignment horizontal="center"/>
    </xf>
    <xf numFmtId="165" fontId="0" fillId="0" borderId="0" xfId="0" applyNumberFormat="1" applyAlignment="1" applyProtection="1">
      <alignment horizontal="center"/>
      <protection/>
    </xf>
    <xf numFmtId="0" fontId="2" fillId="0" borderId="0" xfId="0" applyFont="1" applyBorder="1" applyAlignment="1" applyProtection="1">
      <alignment horizontal="center"/>
      <protection locked="0"/>
    </xf>
    <xf numFmtId="10" fontId="3" fillId="35" borderId="14" xfId="0" applyNumberFormat="1" applyFont="1" applyFill="1" applyBorder="1" applyAlignment="1" applyProtection="1">
      <alignment horizontal="center"/>
      <protection locked="0"/>
    </xf>
    <xf numFmtId="2" fontId="3" fillId="0" borderId="0" xfId="0" applyNumberFormat="1" applyFont="1" applyAlignment="1" applyProtection="1">
      <alignment horizontal="center"/>
      <protection/>
    </xf>
    <xf numFmtId="1" fontId="3" fillId="0" borderId="0" xfId="0" applyNumberFormat="1" applyFont="1" applyBorder="1" applyAlignment="1" applyProtection="1">
      <alignment horizontal="center"/>
      <protection/>
    </xf>
    <xf numFmtId="15" fontId="3" fillId="0" borderId="0" xfId="0" applyNumberFormat="1" applyFont="1" applyBorder="1" applyAlignment="1" applyProtection="1">
      <alignment horizontal="center"/>
      <protection/>
    </xf>
    <xf numFmtId="0" fontId="5" fillId="0" borderId="0" xfId="0" applyFont="1" applyAlignment="1">
      <alignment/>
    </xf>
    <xf numFmtId="0" fontId="0" fillId="0" borderId="0" xfId="0" applyFont="1" applyAlignment="1">
      <alignment/>
    </xf>
    <xf numFmtId="14" fontId="0" fillId="0" borderId="0" xfId="0" applyNumberFormat="1" applyAlignment="1">
      <alignment/>
    </xf>
    <xf numFmtId="4" fontId="0" fillId="0" borderId="0" xfId="0" applyNumberFormat="1" applyAlignment="1">
      <alignment/>
    </xf>
    <xf numFmtId="3" fontId="0" fillId="0" borderId="0" xfId="0" applyNumberFormat="1" applyAlignment="1">
      <alignment/>
    </xf>
    <xf numFmtId="0" fontId="0" fillId="0" borderId="0" xfId="0" applyFont="1" applyAlignment="1">
      <alignment horizontal="center"/>
    </xf>
    <xf numFmtId="2" fontId="3" fillId="0" borderId="0" xfId="0" applyNumberFormat="1" applyFont="1" applyFill="1" applyBorder="1" applyAlignment="1">
      <alignment horizontal="center"/>
    </xf>
    <xf numFmtId="2" fontId="3" fillId="0" borderId="0" xfId="0" applyNumberFormat="1" applyFont="1" applyAlignment="1">
      <alignment horizontal="center"/>
    </xf>
    <xf numFmtId="0" fontId="0" fillId="0" borderId="0" xfId="0" applyAlignment="1">
      <alignment horizontal="center"/>
    </xf>
    <xf numFmtId="1" fontId="3" fillId="0" borderId="15" xfId="0" applyNumberFormat="1" applyFont="1" applyBorder="1" applyAlignment="1" applyProtection="1">
      <alignment horizontal="center"/>
      <protection/>
    </xf>
    <xf numFmtId="0" fontId="3" fillId="0" borderId="0" xfId="0" applyFont="1" applyAlignment="1">
      <alignment horizontal="center"/>
    </xf>
    <xf numFmtId="165" fontId="0" fillId="0" borderId="0" xfId="0" applyNumberFormat="1" applyFont="1" applyAlignment="1" applyProtection="1">
      <alignment horizontal="left" wrapText="1"/>
      <protection locked="0"/>
    </xf>
    <xf numFmtId="0" fontId="0" fillId="0" borderId="0" xfId="0" applyFont="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5"/>
  <sheetViews>
    <sheetView tabSelected="1" zoomScale="96" zoomScaleNormal="96" zoomScalePageLayoutView="0" workbookViewId="0" topLeftCell="A1">
      <pane xSplit="3345" topLeftCell="C1" activePane="topRight" state="split"/>
      <selection pane="topLeft" activeCell="A3" sqref="A3"/>
      <selection pane="topRight" activeCell="C13" sqref="C13"/>
    </sheetView>
  </sheetViews>
  <sheetFormatPr defaultColWidth="9.140625" defaultRowHeight="12.75"/>
  <cols>
    <col min="1" max="1" width="13.140625" style="9" customWidth="1"/>
    <col min="2" max="2" width="15.140625" style="4" customWidth="1"/>
    <col min="3" max="3" width="35.57421875" style="2" bestFit="1" customWidth="1"/>
    <col min="4" max="4" width="7.8515625" style="2" bestFit="1" customWidth="1"/>
    <col min="5" max="5" width="8.57421875" style="2" bestFit="1" customWidth="1"/>
    <col min="6" max="6" width="8.8515625" style="2" bestFit="1" customWidth="1"/>
    <col min="7" max="7" width="8.28125" style="9" bestFit="1" customWidth="1"/>
    <col min="8" max="8" width="8.28125" style="2" customWidth="1"/>
    <col min="9" max="9" width="8.7109375" style="2" bestFit="1" customWidth="1"/>
    <col min="10" max="10" width="13.57421875" style="2" customWidth="1"/>
    <col min="11" max="11" width="7.7109375" style="2" customWidth="1"/>
    <col min="12" max="12" width="14.140625" style="4" bestFit="1" customWidth="1"/>
    <col min="13" max="13" width="11.7109375" style="2" bestFit="1" customWidth="1"/>
    <col min="14" max="14" width="9.8515625" style="5" bestFit="1" customWidth="1"/>
    <col min="15" max="15" width="11.28125" style="2" customWidth="1"/>
    <col min="16" max="16" width="8.8515625" style="2" customWidth="1"/>
    <col min="17" max="17" width="10.140625" style="2" customWidth="1"/>
    <col min="18" max="18" width="6.421875" style="24" bestFit="1" customWidth="1"/>
    <col min="19" max="20" width="9.140625" style="24" customWidth="1"/>
    <col min="21" max="21" width="9.140625" style="25" customWidth="1"/>
    <col min="22" max="22" width="9.140625" style="3" customWidth="1"/>
    <col min="23" max="23" width="9.140625" style="2" customWidth="1"/>
    <col min="24" max="24" width="9.140625" style="9" customWidth="1"/>
    <col min="25" max="16384" width="9.140625" style="2" customWidth="1"/>
  </cols>
  <sheetData>
    <row r="1" spans="1:4" ht="40.5" customHeight="1">
      <c r="A1" s="50" t="s">
        <v>17</v>
      </c>
      <c r="B1" s="51"/>
      <c r="C1" s="51"/>
      <c r="D1" s="51"/>
    </row>
    <row r="2" spans="1:21" s="7" customFormat="1" ht="27.75" thickBot="1">
      <c r="A2" s="6" t="s">
        <v>16</v>
      </c>
      <c r="B2" s="10" t="s">
        <v>15</v>
      </c>
      <c r="C2" s="12" t="s">
        <v>0</v>
      </c>
      <c r="D2" s="13" t="s">
        <v>1</v>
      </c>
      <c r="E2" s="14" t="s">
        <v>3</v>
      </c>
      <c r="F2" s="14" t="s">
        <v>4</v>
      </c>
      <c r="G2" s="15" t="s">
        <v>5</v>
      </c>
      <c r="H2" s="15" t="s">
        <v>6</v>
      </c>
      <c r="I2" s="16" t="s">
        <v>7</v>
      </c>
      <c r="J2" s="16" t="s">
        <v>8</v>
      </c>
      <c r="K2" s="16" t="s">
        <v>9</v>
      </c>
      <c r="L2" s="8" t="s">
        <v>19</v>
      </c>
      <c r="M2" s="15" t="s">
        <v>10</v>
      </c>
      <c r="N2" s="22" t="s">
        <v>11</v>
      </c>
      <c r="O2" s="15" t="s">
        <v>18</v>
      </c>
      <c r="P2" s="16" t="s">
        <v>14</v>
      </c>
      <c r="Q2" s="16" t="s">
        <v>13</v>
      </c>
      <c r="R2" s="35"/>
      <c r="S2" s="35"/>
      <c r="T2" s="35"/>
      <c r="U2" s="35"/>
    </row>
    <row r="3" spans="1:24" ht="13.5" thickBot="1">
      <c r="A3" s="1">
        <v>0</v>
      </c>
      <c r="B3" s="11"/>
      <c r="C3" s="17"/>
      <c r="D3" s="18"/>
      <c r="E3" s="18"/>
      <c r="F3" s="18"/>
      <c r="G3" s="21"/>
      <c r="H3" s="18"/>
      <c r="I3" s="18"/>
      <c r="J3" s="18"/>
      <c r="K3" s="18"/>
      <c r="M3" s="18"/>
      <c r="N3" s="18"/>
      <c r="O3" s="18"/>
      <c r="P3" s="18"/>
      <c r="Q3" s="18"/>
      <c r="U3" s="24"/>
      <c r="V3" s="2"/>
      <c r="X3" s="2"/>
    </row>
    <row r="4" spans="2:24" ht="12.75">
      <c r="B4" s="11">
        <f aca="true" t="shared" si="0" ref="B4:B9">(Q4*$A$3)/H4</f>
        <v>0</v>
      </c>
      <c r="C4" s="17" t="s">
        <v>79</v>
      </c>
      <c r="D4" s="18" t="s">
        <v>80</v>
      </c>
      <c r="E4" s="20">
        <v>42587</v>
      </c>
      <c r="F4" s="26" t="s">
        <v>67</v>
      </c>
      <c r="G4" s="33">
        <v>67.13</v>
      </c>
      <c r="H4" s="32">
        <v>62.89</v>
      </c>
      <c r="I4" s="19">
        <v>-0.06316103083569187</v>
      </c>
      <c r="J4" s="32">
        <v>0.28</v>
      </c>
      <c r="K4" s="27">
        <v>0.004472129052866955</v>
      </c>
      <c r="L4" s="4">
        <v>45</v>
      </c>
      <c r="M4" s="21">
        <v>3020.85</v>
      </c>
      <c r="N4" s="21">
        <v>2830.05</v>
      </c>
      <c r="O4" s="21">
        <v>-190.79999999999973</v>
      </c>
      <c r="P4" s="19">
        <v>-0.06316103083569186</v>
      </c>
      <c r="Q4" s="19">
        <v>0.1488270218819186</v>
      </c>
      <c r="U4" s="24"/>
      <c r="V4" s="2"/>
      <c r="X4" s="2"/>
    </row>
    <row r="5" spans="2:24" ht="12.75">
      <c r="B5" s="11">
        <f t="shared" si="0"/>
        <v>0</v>
      </c>
      <c r="C5" s="17" t="s">
        <v>73</v>
      </c>
      <c r="D5" s="49" t="s">
        <v>51</v>
      </c>
      <c r="E5" s="20">
        <v>41565</v>
      </c>
      <c r="F5" s="20">
        <v>42587</v>
      </c>
      <c r="G5" s="33">
        <v>50.14</v>
      </c>
      <c r="H5" s="32">
        <v>51.3</v>
      </c>
      <c r="I5" s="19">
        <v>0.023135221380135552</v>
      </c>
      <c r="J5" s="32">
        <v>0.2</v>
      </c>
      <c r="K5" s="27">
        <v>0.00391389432485323</v>
      </c>
      <c r="L5" s="4">
        <v>61</v>
      </c>
      <c r="M5" s="21">
        <v>3058.54</v>
      </c>
      <c r="N5" s="21">
        <v>3129.2999999999997</v>
      </c>
      <c r="O5" s="21">
        <v>70.75999999999976</v>
      </c>
      <c r="P5" s="19">
        <v>0.023135221380135542</v>
      </c>
      <c r="Q5" s="19">
        <v>0.16456401815342053</v>
      </c>
      <c r="U5" s="24"/>
      <c r="V5" s="2"/>
      <c r="X5" s="2"/>
    </row>
    <row r="6" spans="2:24" ht="12.75">
      <c r="B6" s="11">
        <f t="shared" si="0"/>
        <v>0</v>
      </c>
      <c r="C6" s="17" t="s">
        <v>81</v>
      </c>
      <c r="D6" s="49" t="s">
        <v>82</v>
      </c>
      <c r="E6" s="20">
        <v>42587</v>
      </c>
      <c r="F6" s="26" t="s">
        <v>67</v>
      </c>
      <c r="G6" s="33">
        <v>30.21</v>
      </c>
      <c r="H6" s="33">
        <v>28.72</v>
      </c>
      <c r="I6" s="19">
        <v>-0.04932141674942079</v>
      </c>
      <c r="J6" s="32">
        <v>0.03</v>
      </c>
      <c r="K6" s="27">
        <v>0.0010456605088881143</v>
      </c>
      <c r="L6" s="4">
        <v>101</v>
      </c>
      <c r="M6" s="21">
        <v>3051.21</v>
      </c>
      <c r="N6" s="21">
        <v>2900.72</v>
      </c>
      <c r="O6" s="21">
        <v>-150.49000000000024</v>
      </c>
      <c r="P6" s="19">
        <v>-0.049321416749420796</v>
      </c>
      <c r="Q6" s="19">
        <v>0.15254342464384688</v>
      </c>
      <c r="U6" s="24"/>
      <c r="V6" s="2"/>
      <c r="X6" s="2"/>
    </row>
    <row r="7" spans="2:24" ht="12.75">
      <c r="B7" s="11">
        <f t="shared" si="0"/>
        <v>0</v>
      </c>
      <c r="C7" s="17" t="s">
        <v>83</v>
      </c>
      <c r="D7" s="18" t="s">
        <v>84</v>
      </c>
      <c r="E7" s="20">
        <v>42587</v>
      </c>
      <c r="F7" s="26" t="s">
        <v>67</v>
      </c>
      <c r="G7" s="33">
        <v>216.41</v>
      </c>
      <c r="H7" s="32">
        <v>227.05</v>
      </c>
      <c r="I7" s="19">
        <v>0.04916593503072878</v>
      </c>
      <c r="J7" s="32">
        <v>0.52</v>
      </c>
      <c r="K7" s="27">
        <v>0.002295501699554143</v>
      </c>
      <c r="L7" s="4">
        <v>14</v>
      </c>
      <c r="M7" s="21">
        <v>3029.74</v>
      </c>
      <c r="N7" s="21">
        <v>3178.7000000000003</v>
      </c>
      <c r="O7" s="21">
        <v>148.9600000000005</v>
      </c>
      <c r="P7" s="19">
        <v>0.04916593503072887</v>
      </c>
      <c r="Q7" s="19">
        <v>0.16716187150617645</v>
      </c>
      <c r="U7" s="24"/>
      <c r="V7" s="2"/>
      <c r="X7" s="2"/>
    </row>
    <row r="8" spans="2:24" ht="12.75">
      <c r="B8" s="48">
        <f t="shared" si="0"/>
        <v>0</v>
      </c>
      <c r="C8" s="28" t="s">
        <v>85</v>
      </c>
      <c r="D8" s="18" t="s">
        <v>86</v>
      </c>
      <c r="E8" s="20">
        <v>42587</v>
      </c>
      <c r="F8" s="26" t="s">
        <v>67</v>
      </c>
      <c r="G8" s="33">
        <v>95.1</v>
      </c>
      <c r="H8" s="32">
        <v>104.17</v>
      </c>
      <c r="I8" s="19">
        <v>0.09537329127234498</v>
      </c>
      <c r="J8" s="32">
        <v>0.72</v>
      </c>
      <c r="K8" s="27">
        <v>0.0069598840019333</v>
      </c>
      <c r="L8" s="4">
        <v>32</v>
      </c>
      <c r="M8" s="21">
        <v>3043.2</v>
      </c>
      <c r="N8" s="21">
        <v>3333.44</v>
      </c>
      <c r="O8" s="21">
        <v>290.24000000000024</v>
      </c>
      <c r="P8" s="19">
        <v>0.09537329127234498</v>
      </c>
      <c r="Q8" s="19">
        <v>0.1752993578989992</v>
      </c>
      <c r="U8" s="24"/>
      <c r="V8" s="2"/>
      <c r="X8" s="2"/>
    </row>
    <row r="9" spans="2:24" ht="12.75">
      <c r="B9" s="48">
        <f t="shared" si="0"/>
        <v>0</v>
      </c>
      <c r="C9" s="28" t="s">
        <v>87</v>
      </c>
      <c r="D9" s="18" t="s">
        <v>88</v>
      </c>
      <c r="E9" s="20">
        <v>42587</v>
      </c>
      <c r="F9" s="26" t="s">
        <v>67</v>
      </c>
      <c r="G9" s="33">
        <v>81.59</v>
      </c>
      <c r="H9" s="32">
        <v>92.94</v>
      </c>
      <c r="I9" s="19">
        <v>0.1391101850716999</v>
      </c>
      <c r="J9" s="32">
        <v>0.9</v>
      </c>
      <c r="K9" s="27">
        <v>0.009778357235984355</v>
      </c>
      <c r="L9" s="4">
        <v>39</v>
      </c>
      <c r="M9" s="21">
        <v>3182.01</v>
      </c>
      <c r="N9" s="21">
        <v>3624.66</v>
      </c>
      <c r="O9" s="21">
        <v>442.64999999999964</v>
      </c>
      <c r="P9" s="19">
        <v>0.13911018507169984</v>
      </c>
      <c r="Q9" s="19">
        <v>0.19061407153036697</v>
      </c>
      <c r="U9" s="24"/>
      <c r="V9" s="2"/>
      <c r="X9" s="2"/>
    </row>
    <row r="10" spans="2:24" ht="12.75">
      <c r="B10" s="37"/>
      <c r="C10" s="28"/>
      <c r="D10" s="18"/>
      <c r="E10" s="20"/>
      <c r="F10" s="20"/>
      <c r="G10" s="21"/>
      <c r="H10" s="21"/>
      <c r="I10" s="19"/>
      <c r="J10" s="18"/>
      <c r="K10" s="19"/>
      <c r="M10" s="21"/>
      <c r="N10" s="23"/>
      <c r="O10" s="21"/>
      <c r="P10" s="19"/>
      <c r="Q10" s="19">
        <v>0.9990097656147285</v>
      </c>
      <c r="R10" s="25"/>
      <c r="S10" s="25"/>
      <c r="T10" s="25"/>
      <c r="V10" s="2"/>
      <c r="X10" s="2"/>
    </row>
    <row r="11" spans="2:24" ht="12.75">
      <c r="B11" s="37"/>
      <c r="C11" s="28"/>
      <c r="D11" s="18"/>
      <c r="E11" s="20"/>
      <c r="F11" s="20"/>
      <c r="G11" s="21"/>
      <c r="H11" s="21"/>
      <c r="I11" s="19"/>
      <c r="J11" s="18"/>
      <c r="K11" s="19"/>
      <c r="M11" s="21"/>
      <c r="N11" s="23"/>
      <c r="O11" s="21"/>
      <c r="P11" s="19"/>
      <c r="Q11" s="19"/>
      <c r="R11" s="25"/>
      <c r="S11" s="25"/>
      <c r="T11" s="25"/>
      <c r="V11" s="2"/>
      <c r="X11" s="2"/>
    </row>
    <row r="12" spans="2:17" ht="12.75">
      <c r="B12" s="11"/>
      <c r="C12" s="2" t="s">
        <v>22</v>
      </c>
      <c r="D12" s="18"/>
      <c r="E12" s="18"/>
      <c r="F12" s="18"/>
      <c r="G12" s="21"/>
      <c r="H12" s="18"/>
      <c r="I12" s="18"/>
      <c r="J12" s="18"/>
      <c r="K12" s="28"/>
      <c r="L12" s="28" t="s">
        <v>12</v>
      </c>
      <c r="M12" s="21">
        <v>18.830000000001746</v>
      </c>
      <c r="N12" s="21">
        <v>18.830000000001746</v>
      </c>
      <c r="O12" s="18"/>
      <c r="P12" s="18"/>
      <c r="Q12" s="18"/>
    </row>
    <row r="13" spans="2:17" ht="12.75">
      <c r="B13" s="37"/>
      <c r="C13" s="38">
        <v>42748</v>
      </c>
      <c r="D13" s="18"/>
      <c r="E13" s="18"/>
      <c r="F13" s="18"/>
      <c r="G13" s="21"/>
      <c r="H13" s="18"/>
      <c r="J13" s="18"/>
      <c r="K13" s="18"/>
      <c r="L13" s="4" t="s">
        <v>21</v>
      </c>
      <c r="M13" s="21">
        <v>18404.379999999997</v>
      </c>
      <c r="N13" s="21">
        <v>19015.700000000004</v>
      </c>
      <c r="O13" s="21">
        <v>611.320000000007</v>
      </c>
      <c r="P13" s="19">
        <v>0.03321600618983128</v>
      </c>
      <c r="Q13" s="18"/>
    </row>
    <row r="14" spans="2:17" ht="12.75">
      <c r="B14" s="37"/>
      <c r="C14" s="28"/>
      <c r="D14" s="18"/>
      <c r="E14" s="18"/>
      <c r="F14" s="18"/>
      <c r="G14" s="21"/>
      <c r="H14" s="18"/>
      <c r="I14" s="18"/>
      <c r="J14" s="18"/>
      <c r="K14" s="18"/>
      <c r="M14" s="18"/>
      <c r="N14" s="23"/>
      <c r="O14" s="18"/>
      <c r="P14" s="18"/>
      <c r="Q14" s="18"/>
    </row>
    <row r="15" spans="2:25" ht="12.75">
      <c r="B15" s="37"/>
      <c r="C15" s="34"/>
      <c r="J15" s="34" t="s">
        <v>2</v>
      </c>
      <c r="L15" s="4" t="s">
        <v>25</v>
      </c>
      <c r="M15" s="21">
        <v>18726.860000000004</v>
      </c>
      <c r="N15" s="21">
        <v>19015.700000000004</v>
      </c>
      <c r="O15" s="21">
        <v>288.84000000000015</v>
      </c>
      <c r="P15" s="19">
        <v>0.015423835068986477</v>
      </c>
      <c r="S15" s="25"/>
      <c r="W15" s="30"/>
      <c r="X15" s="29"/>
      <c r="Y15" s="29"/>
    </row>
    <row r="16" spans="2:16" ht="12.75">
      <c r="B16" s="37"/>
      <c r="C16" s="34"/>
      <c r="J16" s="34" t="s">
        <v>89</v>
      </c>
      <c r="M16" s="46">
        <v>1082.341</v>
      </c>
      <c r="N16" s="23">
        <v>1106.915</v>
      </c>
      <c r="O16" s="23">
        <v>24.57400000000007</v>
      </c>
      <c r="P16" s="19">
        <v>0.022704489620184464</v>
      </c>
    </row>
    <row r="17" spans="2:17" ht="12.75">
      <c r="B17" s="11"/>
      <c r="C17" s="34"/>
      <c r="M17" s="18"/>
      <c r="N17" s="23"/>
      <c r="O17" s="18"/>
      <c r="P17" s="18"/>
      <c r="Q17" s="18"/>
    </row>
    <row r="18" spans="2:25" ht="12.75">
      <c r="B18" s="11"/>
      <c r="L18" s="4" t="s">
        <v>24</v>
      </c>
      <c r="M18" s="21">
        <v>18726.860000000004</v>
      </c>
      <c r="N18" s="21">
        <v>19015.700000000004</v>
      </c>
      <c r="O18" s="21">
        <v>288.84000000000015</v>
      </c>
      <c r="P18" s="19">
        <v>0.015423835068986477</v>
      </c>
      <c r="S18" s="25"/>
      <c r="W18" s="30"/>
      <c r="X18" s="38"/>
      <c r="Y18" s="29"/>
    </row>
    <row r="19" spans="2:16" ht="12.75">
      <c r="B19" s="11"/>
      <c r="M19" s="46">
        <v>1082.341</v>
      </c>
      <c r="N19" s="23">
        <v>1106.915</v>
      </c>
      <c r="O19" s="23">
        <v>24.57400000000007</v>
      </c>
      <c r="P19" s="19">
        <v>0.022704489620184464</v>
      </c>
    </row>
    <row r="20" spans="2:17" ht="12.75">
      <c r="B20" s="11"/>
      <c r="M20" s="18"/>
      <c r="N20" s="23"/>
      <c r="O20" s="18"/>
      <c r="P20" s="18"/>
      <c r="Q20" s="18"/>
    </row>
    <row r="21" spans="2:25" ht="12.75">
      <c r="B21" s="11"/>
      <c r="L21" s="4" t="s">
        <v>20</v>
      </c>
      <c r="M21" s="21">
        <v>18726.860000000004</v>
      </c>
      <c r="N21" s="21">
        <v>19015.700000000004</v>
      </c>
      <c r="O21" s="21">
        <v>288.84000000000015</v>
      </c>
      <c r="P21" s="19">
        <v>0.015423835068986477</v>
      </c>
      <c r="S21" s="25"/>
      <c r="W21" s="30"/>
      <c r="X21" s="38"/>
      <c r="Y21" s="29"/>
    </row>
    <row r="22" spans="2:16" ht="12.75">
      <c r="B22" s="11"/>
      <c r="M22" s="46">
        <v>1082.341</v>
      </c>
      <c r="N22" s="23">
        <v>1106.915</v>
      </c>
      <c r="O22" s="23">
        <v>24.57400000000007</v>
      </c>
      <c r="P22" s="19">
        <v>0.022704489620184464</v>
      </c>
    </row>
    <row r="23" ht="12.75">
      <c r="B23" s="11"/>
    </row>
    <row r="24" spans="2:19" ht="12.75">
      <c r="B24" s="11"/>
      <c r="L24" s="4" t="s">
        <v>76</v>
      </c>
      <c r="M24" s="21">
        <v>18939.850000000002</v>
      </c>
      <c r="N24" s="21">
        <v>19015.700000000004</v>
      </c>
      <c r="O24" s="21">
        <v>75.85000000000218</v>
      </c>
      <c r="P24" s="19">
        <v>0.004004783564811874</v>
      </c>
      <c r="S24" s="25"/>
    </row>
    <row r="25" spans="2:16" ht="12.75">
      <c r="B25" s="11"/>
      <c r="M25" s="46">
        <v>1104.123</v>
      </c>
      <c r="N25" s="45">
        <v>1106.915</v>
      </c>
      <c r="O25" s="23">
        <v>2.7919999999999163</v>
      </c>
      <c r="P25" s="19">
        <v>0.002528703776662488</v>
      </c>
    </row>
    <row r="26" ht="12.75">
      <c r="B26" s="11"/>
    </row>
    <row r="27" spans="2:25" ht="12.75">
      <c r="B27" s="11"/>
      <c r="L27" s="4" t="s">
        <v>90</v>
      </c>
      <c r="M27" s="21">
        <v>17418.676000000003</v>
      </c>
      <c r="N27" s="21">
        <v>19015.700000000004</v>
      </c>
      <c r="O27" s="21">
        <v>1597.0240000000013</v>
      </c>
      <c r="P27" s="19">
        <v>0.09168458038946249</v>
      </c>
      <c r="S27" s="25"/>
      <c r="W27" s="30"/>
      <c r="X27" s="29"/>
      <c r="Y27" s="29"/>
    </row>
    <row r="28" spans="2:17" ht="12.75">
      <c r="B28" s="11"/>
      <c r="M28" s="23">
        <v>1019.349</v>
      </c>
      <c r="N28" s="23">
        <v>1106.915</v>
      </c>
      <c r="O28" s="23">
        <v>87.56599999999992</v>
      </c>
      <c r="P28" s="19">
        <v>0.08590384647456359</v>
      </c>
      <c r="Q28" s="18"/>
    </row>
    <row r="29" ht="12.75">
      <c r="B29" s="11"/>
    </row>
    <row r="30" spans="2:25" ht="12.75">
      <c r="B30" s="11"/>
      <c r="L30" s="4" t="s">
        <v>78</v>
      </c>
      <c r="M30" s="21">
        <v>16012.375999999998</v>
      </c>
      <c r="N30" s="21">
        <v>19015.700000000004</v>
      </c>
      <c r="O30" s="21">
        <v>3003.324000000006</v>
      </c>
      <c r="P30" s="19">
        <v>0.18756267027454304</v>
      </c>
      <c r="S30" s="25"/>
      <c r="W30" s="30"/>
      <c r="X30" s="29"/>
      <c r="Y30" s="29"/>
    </row>
    <row r="31" spans="2:17" ht="12.75">
      <c r="B31" s="11"/>
      <c r="M31" s="23">
        <v>941.558</v>
      </c>
      <c r="N31" s="23">
        <v>1106.915</v>
      </c>
      <c r="O31" s="23">
        <v>165.35699999999997</v>
      </c>
      <c r="P31" s="19">
        <v>0.1756206202910495</v>
      </c>
      <c r="Q31" s="18"/>
    </row>
    <row r="32" ht="12.75">
      <c r="B32" s="11"/>
    </row>
    <row r="33" spans="2:25" ht="12.75">
      <c r="B33" s="11"/>
      <c r="L33" s="4" t="s">
        <v>77</v>
      </c>
      <c r="M33" s="21">
        <v>19337.260000000002</v>
      </c>
      <c r="N33" s="21">
        <v>19015.700000000004</v>
      </c>
      <c r="O33" s="21">
        <v>-321.5599999999977</v>
      </c>
      <c r="P33" s="19">
        <v>-0.016629036378473353</v>
      </c>
      <c r="S33" s="25"/>
      <c r="W33" s="30"/>
      <c r="X33" s="29"/>
      <c r="Y33" s="29"/>
    </row>
    <row r="34" spans="2:17" ht="12.75">
      <c r="B34" s="11"/>
      <c r="M34" s="23">
        <v>1042.93</v>
      </c>
      <c r="N34" s="23">
        <v>1106.915</v>
      </c>
      <c r="O34" s="23">
        <v>63.9849999999999</v>
      </c>
      <c r="P34" s="19">
        <v>0.06135119327279865</v>
      </c>
      <c r="Q34" s="18"/>
    </row>
    <row r="35" ht="12.75">
      <c r="B35" s="11"/>
    </row>
    <row r="36" spans="2:25" ht="12.75">
      <c r="B36" s="11"/>
      <c r="L36" s="4" t="s">
        <v>74</v>
      </c>
      <c r="M36" s="21">
        <v>15370.7648</v>
      </c>
      <c r="N36" s="21">
        <v>19015.700000000004</v>
      </c>
      <c r="O36" s="21">
        <v>3644.9352000000035</v>
      </c>
      <c r="P36" s="19">
        <v>0.23713427714410173</v>
      </c>
      <c r="S36" s="25"/>
      <c r="W36" s="30"/>
      <c r="X36" s="29"/>
      <c r="Y36" s="29"/>
    </row>
    <row r="37" spans="2:17" ht="12.75">
      <c r="B37" s="11"/>
      <c r="M37" s="23">
        <v>861.438</v>
      </c>
      <c r="N37" s="23">
        <v>1106.915</v>
      </c>
      <c r="O37" s="23">
        <v>245.47699999999998</v>
      </c>
      <c r="P37" s="19">
        <v>0.28496188930602084</v>
      </c>
      <c r="Q37" s="18"/>
    </row>
    <row r="38" ht="12.75">
      <c r="B38" s="11"/>
    </row>
    <row r="39" spans="2:25" ht="12.75">
      <c r="B39" s="11"/>
      <c r="L39" s="4" t="s">
        <v>66</v>
      </c>
      <c r="M39" s="21">
        <v>12383.649999999998</v>
      </c>
      <c r="N39" s="21">
        <v>19015.700000000004</v>
      </c>
      <c r="O39" s="21">
        <v>6632.050000000007</v>
      </c>
      <c r="P39" s="19">
        <v>0.5355488890593652</v>
      </c>
      <c r="S39" s="25"/>
      <c r="W39" s="30"/>
      <c r="X39" s="29"/>
      <c r="Y39" s="29"/>
    </row>
    <row r="40" spans="2:17" ht="12.75">
      <c r="B40" s="11"/>
      <c r="M40" s="23">
        <v>757.157</v>
      </c>
      <c r="N40" s="23">
        <v>1106.915</v>
      </c>
      <c r="O40" s="23">
        <v>349.7579999999999</v>
      </c>
      <c r="P40" s="19">
        <v>0.4619358996879114</v>
      </c>
      <c r="Q40" s="18"/>
    </row>
    <row r="41" ht="12.75">
      <c r="B41" s="11"/>
    </row>
    <row r="42" spans="2:25" ht="12.75">
      <c r="B42" s="11"/>
      <c r="L42" s="4" t="s">
        <v>61</v>
      </c>
      <c r="M42" s="21">
        <v>13720.110799999999</v>
      </c>
      <c r="N42" s="21">
        <v>19015.700000000004</v>
      </c>
      <c r="O42" s="21">
        <v>5295.589200000006</v>
      </c>
      <c r="P42" s="19">
        <v>0.3859727721732398</v>
      </c>
      <c r="S42" s="25"/>
      <c r="W42" s="30"/>
      <c r="X42" s="29"/>
      <c r="Y42" s="29"/>
    </row>
    <row r="43" spans="2:17" ht="12.75">
      <c r="B43" s="11"/>
      <c r="M43" s="23">
        <v>840.086</v>
      </c>
      <c r="N43" s="23">
        <v>1106.915</v>
      </c>
      <c r="O43" s="23">
        <v>266.82899999999995</v>
      </c>
      <c r="P43" s="19">
        <v>0.31762105308266053</v>
      </c>
      <c r="Q43" s="18"/>
    </row>
    <row r="44" ht="12.75">
      <c r="B44" s="11"/>
    </row>
    <row r="45" spans="2:25" ht="12.75">
      <c r="B45" s="11"/>
      <c r="L45" s="4" t="s">
        <v>60</v>
      </c>
      <c r="M45" s="21">
        <v>11076.744799999999</v>
      </c>
      <c r="N45" s="21">
        <v>19015.700000000004</v>
      </c>
      <c r="O45" s="21">
        <v>7938.955200000006</v>
      </c>
      <c r="P45" s="19">
        <v>0.716722768588115</v>
      </c>
      <c r="S45" s="25"/>
      <c r="W45" s="30"/>
      <c r="X45" s="29"/>
      <c r="Y45" s="29"/>
    </row>
    <row r="46" spans="2:17" ht="12.75">
      <c r="B46" s="11"/>
      <c r="M46" s="23">
        <v>749.158</v>
      </c>
      <c r="N46" s="23">
        <v>1106.915</v>
      </c>
      <c r="O46" s="23">
        <v>357.75699999999995</v>
      </c>
      <c r="P46" s="19">
        <v>0.4775454577005117</v>
      </c>
      <c r="Q46" s="18"/>
    </row>
    <row r="47" spans="2:17" ht="12.75">
      <c r="B47" s="11"/>
      <c r="M47" s="18"/>
      <c r="N47" s="23"/>
      <c r="O47" s="18"/>
      <c r="P47" s="18"/>
      <c r="Q47" s="18"/>
    </row>
    <row r="48" spans="2:25" ht="12.75">
      <c r="B48" s="11"/>
      <c r="L48" s="4" t="s">
        <v>54</v>
      </c>
      <c r="M48" s="21">
        <v>7608.572999999999</v>
      </c>
      <c r="N48" s="21">
        <v>19015.700000000004</v>
      </c>
      <c r="O48" s="21">
        <v>11407.127000000004</v>
      </c>
      <c r="P48" s="19">
        <v>1.4992465735690523</v>
      </c>
      <c r="S48" s="25"/>
      <c r="W48" s="30"/>
      <c r="X48" s="29"/>
      <c r="Y48" s="29"/>
    </row>
    <row r="49" spans="2:17" ht="12.75">
      <c r="B49" s="11"/>
      <c r="M49" s="36">
        <v>561.8</v>
      </c>
      <c r="N49" s="23">
        <v>1106.915</v>
      </c>
      <c r="O49" s="23">
        <v>545.115</v>
      </c>
      <c r="P49" s="19">
        <v>0.9703008187967249</v>
      </c>
      <c r="Q49" s="18"/>
    </row>
    <row r="51" spans="12:16" ht="12.75">
      <c r="L51" s="4" t="s">
        <v>33</v>
      </c>
      <c r="M51" s="9">
        <v>12719.539999999999</v>
      </c>
      <c r="N51" s="9">
        <v>19015.700000000004</v>
      </c>
      <c r="O51" s="9">
        <v>6296.160000000005</v>
      </c>
      <c r="P51" s="3">
        <v>0.4949990329838977</v>
      </c>
    </row>
    <row r="52" spans="13:16" ht="12.75">
      <c r="M52" s="2">
        <v>996.959</v>
      </c>
      <c r="N52" s="5">
        <v>1106.915</v>
      </c>
      <c r="O52" s="5">
        <v>109.95600000000002</v>
      </c>
      <c r="P52" s="3">
        <v>0.11029139613564853</v>
      </c>
    </row>
    <row r="53" spans="15:16" ht="12.75">
      <c r="O53" s="5"/>
      <c r="P53" s="3"/>
    </row>
    <row r="54" spans="12:16" ht="12.75">
      <c r="L54" s="4" t="s">
        <v>23</v>
      </c>
      <c r="M54" s="9">
        <v>12000</v>
      </c>
      <c r="N54" s="9">
        <v>19015.700000000004</v>
      </c>
      <c r="O54" s="9">
        <v>7015.700000000004</v>
      </c>
      <c r="P54" s="3">
        <v>0.5846416666666671</v>
      </c>
    </row>
    <row r="55" spans="13:16" ht="12.75">
      <c r="M55" s="2">
        <v>911.745</v>
      </c>
      <c r="N55" s="5">
        <v>1106.915</v>
      </c>
      <c r="O55" s="5">
        <v>195.16999999999996</v>
      </c>
      <c r="P55" s="3">
        <v>0.2140620458571201</v>
      </c>
    </row>
  </sheetData>
  <sheetProtection selectLockedCells="1"/>
  <protectedRanges>
    <protectedRange sqref="A3" name="Total Investment Amount"/>
  </protectedRanges>
  <mergeCells count="1">
    <mergeCell ref="A1:D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D1">
      <selection activeCell="K4" sqref="K4"/>
    </sheetView>
  </sheetViews>
  <sheetFormatPr defaultColWidth="9.140625" defaultRowHeight="12.75"/>
  <cols>
    <col min="5" max="5" width="10.140625" style="0" bestFit="1" customWidth="1"/>
    <col min="10" max="10" width="10.140625" style="0" bestFit="1" customWidth="1"/>
    <col min="11" max="11" width="11.00390625" style="0" customWidth="1"/>
    <col min="12" max="12" width="10.140625" style="0" bestFit="1" customWidth="1"/>
  </cols>
  <sheetData>
    <row r="1" spans="1:12" ht="12.75">
      <c r="A1" s="39" t="s">
        <v>34</v>
      </c>
      <c r="B1" s="39" t="s">
        <v>35</v>
      </c>
      <c r="C1" s="39" t="s">
        <v>36</v>
      </c>
      <c r="D1" s="39" t="s">
        <v>37</v>
      </c>
      <c r="E1" s="39" t="s">
        <v>38</v>
      </c>
      <c r="F1" s="39" t="s">
        <v>39</v>
      </c>
      <c r="G1" s="39" t="s">
        <v>1</v>
      </c>
      <c r="H1" s="39" t="s">
        <v>37</v>
      </c>
      <c r="I1" s="39" t="s">
        <v>40</v>
      </c>
      <c r="J1" s="39" t="s">
        <v>41</v>
      </c>
      <c r="K1" s="39" t="s">
        <v>42</v>
      </c>
      <c r="L1" s="39" t="s">
        <v>43</v>
      </c>
    </row>
    <row r="3" spans="1:12" ht="12.75">
      <c r="A3" s="40" t="s">
        <v>45</v>
      </c>
      <c r="B3">
        <v>102</v>
      </c>
      <c r="C3" s="40" t="s">
        <v>68</v>
      </c>
      <c r="D3">
        <v>41.1</v>
      </c>
      <c r="E3" s="31">
        <f>B3*D3</f>
        <v>4192.2</v>
      </c>
      <c r="F3" s="31">
        <f>E3+26.55</f>
        <v>4218.75</v>
      </c>
      <c r="G3" s="40" t="s">
        <v>75</v>
      </c>
      <c r="H3">
        <v>19.36</v>
      </c>
      <c r="I3" s="42">
        <v>220</v>
      </c>
      <c r="J3" s="31">
        <f>I3*H3</f>
        <v>4259.2</v>
      </c>
      <c r="K3" s="31">
        <f>F3-J3</f>
        <v>-40.44999999999982</v>
      </c>
      <c r="L3" s="41">
        <v>41897</v>
      </c>
    </row>
    <row r="4" spans="1:12" ht="12.75">
      <c r="A4" s="40" t="s">
        <v>45</v>
      </c>
      <c r="B4">
        <v>68</v>
      </c>
      <c r="C4" s="40" t="s">
        <v>69</v>
      </c>
      <c r="D4">
        <v>27.26</v>
      </c>
      <c r="E4" s="31">
        <f>B4*D4</f>
        <v>1853.68</v>
      </c>
      <c r="F4" s="31">
        <f>E4+K3</f>
        <v>1813.2300000000002</v>
      </c>
      <c r="G4" s="40" t="s">
        <v>52</v>
      </c>
      <c r="H4">
        <v>44.21</v>
      </c>
      <c r="I4" s="42">
        <v>41</v>
      </c>
      <c r="J4" s="31">
        <f>I4*H4</f>
        <v>1812.6100000000001</v>
      </c>
      <c r="K4" s="31">
        <f>F4-J4</f>
        <v>0.6200000000001182</v>
      </c>
      <c r="L4" s="41">
        <v>41897</v>
      </c>
    </row>
    <row r="5" spans="1:10" ht="12.75">
      <c r="A5" s="40"/>
      <c r="C5" s="40"/>
      <c r="E5" s="31">
        <f>SUM(E3:E4)</f>
        <v>6045.88</v>
      </c>
      <c r="J5" s="31">
        <f>SUM(J3:J4)</f>
        <v>6071.8099999999995</v>
      </c>
    </row>
    <row r="7" spans="1:12" ht="12.75">
      <c r="A7" s="40" t="s">
        <v>45</v>
      </c>
      <c r="B7" s="47">
        <v>150</v>
      </c>
      <c r="C7" t="s">
        <v>62</v>
      </c>
      <c r="D7">
        <v>25.5</v>
      </c>
      <c r="E7" s="31">
        <f>B7*D7</f>
        <v>3825</v>
      </c>
      <c r="F7">
        <v>4212.1</v>
      </c>
      <c r="G7" s="40" t="s">
        <v>68</v>
      </c>
      <c r="H7">
        <v>40.92</v>
      </c>
      <c r="I7">
        <v>102</v>
      </c>
      <c r="J7" s="31">
        <f aca="true" t="shared" si="0" ref="J7:J12">I7*H7</f>
        <v>4173.84</v>
      </c>
      <c r="K7" s="31">
        <f aca="true" t="shared" si="1" ref="K7:K12">F7-J7</f>
        <v>38.26000000000022</v>
      </c>
      <c r="L7" s="41">
        <v>41565</v>
      </c>
    </row>
    <row r="8" spans="1:12" ht="12.75">
      <c r="A8" s="40" t="s">
        <v>45</v>
      </c>
      <c r="B8" s="47">
        <v>161</v>
      </c>
      <c r="C8" t="s">
        <v>63</v>
      </c>
      <c r="D8">
        <v>19.11</v>
      </c>
      <c r="E8" s="31">
        <f>B8*D8</f>
        <v>3076.71</v>
      </c>
      <c r="F8">
        <v>4250.66</v>
      </c>
      <c r="G8" s="40" t="s">
        <v>51</v>
      </c>
      <c r="H8">
        <v>50.14</v>
      </c>
      <c r="I8">
        <v>84</v>
      </c>
      <c r="J8" s="31">
        <f t="shared" si="0"/>
        <v>4211.76</v>
      </c>
      <c r="K8" s="31">
        <f t="shared" si="1"/>
        <v>38.899999999999636</v>
      </c>
      <c r="L8" s="41">
        <v>41565</v>
      </c>
    </row>
    <row r="9" spans="1:12" ht="12.75">
      <c r="A9" s="40" t="s">
        <v>45</v>
      </c>
      <c r="B9" s="47">
        <v>436</v>
      </c>
      <c r="C9" t="s">
        <v>64</v>
      </c>
      <c r="D9">
        <v>18.79</v>
      </c>
      <c r="E9" s="31">
        <f>B9*D9</f>
        <v>8192.44</v>
      </c>
      <c r="F9">
        <v>1911.08</v>
      </c>
      <c r="G9" s="40" t="s">
        <v>69</v>
      </c>
      <c r="H9">
        <v>27.91</v>
      </c>
      <c r="I9">
        <v>68</v>
      </c>
      <c r="J9" s="31">
        <f t="shared" si="0"/>
        <v>1897.88</v>
      </c>
      <c r="K9" s="31">
        <f t="shared" si="1"/>
        <v>13.199999999999818</v>
      </c>
      <c r="L9" s="41">
        <v>41565</v>
      </c>
    </row>
    <row r="10" spans="1:12" ht="12.75">
      <c r="A10" s="40" t="s">
        <v>45</v>
      </c>
      <c r="B10" s="47">
        <v>34</v>
      </c>
      <c r="C10" t="s">
        <v>65</v>
      </c>
      <c r="D10">
        <v>105.89</v>
      </c>
      <c r="E10" s="31">
        <f>B10*D10</f>
        <v>3600.26</v>
      </c>
      <c r="F10">
        <v>4225.6</v>
      </c>
      <c r="G10" s="40" t="s">
        <v>70</v>
      </c>
      <c r="H10">
        <v>40.47</v>
      </c>
      <c r="I10">
        <v>104</v>
      </c>
      <c r="J10" s="31">
        <f t="shared" si="0"/>
        <v>4208.88</v>
      </c>
      <c r="K10" s="31">
        <f t="shared" si="1"/>
        <v>16.720000000000255</v>
      </c>
      <c r="L10" s="41">
        <v>41565</v>
      </c>
    </row>
    <row r="11" spans="1:12" ht="12.75">
      <c r="A11" s="40"/>
      <c r="B11" s="47"/>
      <c r="E11" s="31"/>
      <c r="F11">
        <v>2122.92</v>
      </c>
      <c r="G11" s="40" t="s">
        <v>71</v>
      </c>
      <c r="H11">
        <v>42.65</v>
      </c>
      <c r="I11">
        <v>49</v>
      </c>
      <c r="J11" s="31">
        <f t="shared" si="0"/>
        <v>2089.85</v>
      </c>
      <c r="K11" s="31">
        <f t="shared" si="1"/>
        <v>33.070000000000164</v>
      </c>
      <c r="L11" s="41">
        <v>41565</v>
      </c>
    </row>
    <row r="12" spans="1:12" ht="12.75">
      <c r="A12" s="40"/>
      <c r="B12" s="47"/>
      <c r="E12" s="31"/>
      <c r="F12">
        <v>2139.57</v>
      </c>
      <c r="G12" s="40" t="s">
        <v>72</v>
      </c>
      <c r="H12">
        <v>50.31</v>
      </c>
      <c r="I12">
        <v>42</v>
      </c>
      <c r="J12" s="31">
        <f t="shared" si="0"/>
        <v>2113.02</v>
      </c>
      <c r="K12" s="31">
        <f t="shared" si="1"/>
        <v>26.550000000000182</v>
      </c>
      <c r="L12" s="41">
        <v>41565</v>
      </c>
    </row>
    <row r="13" spans="5:13" ht="12.75">
      <c r="E13" s="31">
        <f>SUM(E7:E10)+27.37</f>
        <v>18721.780000000002</v>
      </c>
      <c r="J13" s="31">
        <f>SUM(J7:J12)</f>
        <v>18695.23</v>
      </c>
      <c r="M13" s="31">
        <f>E13-J13</f>
        <v>26.55000000000291</v>
      </c>
    </row>
    <row r="15" spans="1:12" ht="12.75">
      <c r="A15" s="40" t="s">
        <v>45</v>
      </c>
      <c r="B15" s="47">
        <v>47</v>
      </c>
      <c r="C15" s="18" t="s">
        <v>55</v>
      </c>
      <c r="D15">
        <v>50.7564</v>
      </c>
      <c r="E15">
        <f>B15*D15+20.74</f>
        <v>2406.2907999999998</v>
      </c>
      <c r="F15">
        <f>E22*0.2</f>
        <v>2917.30416</v>
      </c>
      <c r="G15" s="40" t="s">
        <v>62</v>
      </c>
      <c r="H15">
        <v>19.33</v>
      </c>
      <c r="I15">
        <v>150</v>
      </c>
      <c r="J15" s="31">
        <f>I15*H15</f>
        <v>2899.4999999999995</v>
      </c>
      <c r="K15" s="31">
        <f>F15-J15</f>
        <v>17.804160000000593</v>
      </c>
      <c r="L15" s="41">
        <v>41031</v>
      </c>
    </row>
    <row r="16" spans="1:12" ht="12.75">
      <c r="A16" s="40" t="s">
        <v>45</v>
      </c>
      <c r="B16" s="47">
        <v>55</v>
      </c>
      <c r="C16" s="44" t="s">
        <v>28</v>
      </c>
      <c r="D16">
        <v>22.35</v>
      </c>
      <c r="E16">
        <f aca="true" t="shared" si="2" ref="E16:E21">B16*D16</f>
        <v>1229.25</v>
      </c>
      <c r="F16">
        <f>E22*0.2</f>
        <v>2917.30416</v>
      </c>
      <c r="G16" s="40" t="s">
        <v>63</v>
      </c>
      <c r="H16">
        <v>18.1</v>
      </c>
      <c r="I16">
        <v>161</v>
      </c>
      <c r="J16" s="31">
        <f>I16*H16</f>
        <v>2914.1000000000004</v>
      </c>
      <c r="K16" s="31">
        <f>F16-J16</f>
        <v>3.2041599999997743</v>
      </c>
      <c r="L16" s="41">
        <v>41031</v>
      </c>
    </row>
    <row r="17" spans="1:12" ht="12.75">
      <c r="A17" s="40" t="s">
        <v>45</v>
      </c>
      <c r="B17" s="47">
        <v>47</v>
      </c>
      <c r="C17" s="44" t="s">
        <v>59</v>
      </c>
      <c r="D17">
        <v>28.21</v>
      </c>
      <c r="E17">
        <f t="shared" si="2"/>
        <v>1325.8700000000001</v>
      </c>
      <c r="F17">
        <f>0.42*E22</f>
        <v>6126.338736</v>
      </c>
      <c r="G17" s="40" t="s">
        <v>64</v>
      </c>
      <c r="H17">
        <v>14.05</v>
      </c>
      <c r="I17">
        <v>436</v>
      </c>
      <c r="J17" s="31">
        <f>I17*H17</f>
        <v>6125.8</v>
      </c>
      <c r="K17" s="31">
        <f>F17-J17</f>
        <v>0.5387359999995169</v>
      </c>
      <c r="L17" s="41">
        <v>41031</v>
      </c>
    </row>
    <row r="18" spans="1:12" ht="12.75">
      <c r="A18" s="40" t="s">
        <v>45</v>
      </c>
      <c r="B18" s="47">
        <v>28</v>
      </c>
      <c r="C18" s="18" t="s">
        <v>52</v>
      </c>
      <c r="D18">
        <v>42.74</v>
      </c>
      <c r="E18">
        <f t="shared" si="2"/>
        <v>1196.72</v>
      </c>
      <c r="F18">
        <f>0.18*E22</f>
        <v>2625.573744</v>
      </c>
      <c r="G18" s="40" t="s">
        <v>65</v>
      </c>
      <c r="H18">
        <v>77.56</v>
      </c>
      <c r="I18">
        <v>34</v>
      </c>
      <c r="J18" s="31">
        <f>I18*H18</f>
        <v>2637.04</v>
      </c>
      <c r="K18" s="31">
        <f>F18-J18</f>
        <v>-11.466256000000158</v>
      </c>
      <c r="L18" s="41">
        <v>41031</v>
      </c>
    </row>
    <row r="19" spans="1:5" ht="12.75">
      <c r="A19" s="40" t="s">
        <v>45</v>
      </c>
      <c r="B19" s="47">
        <v>66</v>
      </c>
      <c r="C19" s="18" t="s">
        <v>30</v>
      </c>
      <c r="D19">
        <v>49.27</v>
      </c>
      <c r="E19">
        <f t="shared" si="2"/>
        <v>3251.82</v>
      </c>
    </row>
    <row r="20" spans="1:5" ht="12.75">
      <c r="A20" s="40" t="s">
        <v>45</v>
      </c>
      <c r="B20" s="47">
        <v>49</v>
      </c>
      <c r="C20" s="18" t="s">
        <v>31</v>
      </c>
      <c r="D20">
        <v>69.93</v>
      </c>
      <c r="E20">
        <f t="shared" si="2"/>
        <v>3426.57</v>
      </c>
    </row>
    <row r="21" spans="1:5" ht="12.75">
      <c r="A21" s="40" t="s">
        <v>45</v>
      </c>
      <c r="B21" s="47">
        <v>35</v>
      </c>
      <c r="C21" s="18" t="s">
        <v>32</v>
      </c>
      <c r="D21">
        <v>50</v>
      </c>
      <c r="E21">
        <f t="shared" si="2"/>
        <v>1750</v>
      </c>
    </row>
    <row r="22" spans="1:12" ht="12.75">
      <c r="A22" s="40"/>
      <c r="B22" s="47"/>
      <c r="C22" s="18"/>
      <c r="E22">
        <f>SUM(E15:E21)</f>
        <v>14586.5208</v>
      </c>
      <c r="F22">
        <f>SUM(F15:F21)</f>
        <v>14586.5208</v>
      </c>
      <c r="J22">
        <f>SUM(J15:J21)</f>
        <v>14576.440000000002</v>
      </c>
      <c r="K22" s="31">
        <f>SUM(K15:K21)</f>
        <v>10.080799999999726</v>
      </c>
      <c r="L22" s="41">
        <v>41031</v>
      </c>
    </row>
    <row r="24" spans="1:12" ht="12.75">
      <c r="A24" s="40" t="s">
        <v>45</v>
      </c>
      <c r="B24" s="4">
        <v>26</v>
      </c>
      <c r="C24" s="18" t="s">
        <v>27</v>
      </c>
      <c r="D24">
        <v>48.63</v>
      </c>
      <c r="E24">
        <f>B24*D24+5.62</f>
        <v>1270</v>
      </c>
      <c r="F24">
        <f>E24</f>
        <v>1270</v>
      </c>
      <c r="G24" s="40" t="s">
        <v>28</v>
      </c>
      <c r="H24">
        <v>22.85</v>
      </c>
      <c r="I24">
        <v>55</v>
      </c>
      <c r="J24" s="31">
        <f>I24*H24</f>
        <v>1256.75</v>
      </c>
      <c r="K24" s="31">
        <f>(E24+9.03)-J24</f>
        <v>22.279999999999973</v>
      </c>
      <c r="L24" s="41">
        <v>40463</v>
      </c>
    </row>
    <row r="25" spans="1:12" ht="12.75">
      <c r="A25" s="40" t="s">
        <v>45</v>
      </c>
      <c r="B25" s="4">
        <v>57</v>
      </c>
      <c r="C25" s="18" t="s">
        <v>58</v>
      </c>
      <c r="D25">
        <v>23.43</v>
      </c>
      <c r="E25" s="31">
        <f>B25*D25+K24</f>
        <v>1357.79</v>
      </c>
      <c r="F25">
        <f>E25</f>
        <v>1357.79</v>
      </c>
      <c r="G25" s="40" t="s">
        <v>59</v>
      </c>
      <c r="H25">
        <v>28.64</v>
      </c>
      <c r="I25">
        <v>47</v>
      </c>
      <c r="J25" s="31">
        <f>I25*H25</f>
        <v>1346.08</v>
      </c>
      <c r="K25" s="31">
        <f>(E25+9.03)-J25</f>
        <v>20.74000000000001</v>
      </c>
      <c r="L25" s="41">
        <v>40463</v>
      </c>
    </row>
    <row r="27" spans="1:12" ht="12.75">
      <c r="A27" s="40" t="s">
        <v>45</v>
      </c>
      <c r="B27">
        <v>76</v>
      </c>
      <c r="C27" t="s">
        <v>50</v>
      </c>
      <c r="D27">
        <v>27.95</v>
      </c>
      <c r="E27">
        <f>B27*D27</f>
        <v>2124.2</v>
      </c>
      <c r="F27">
        <f>E27+17.55</f>
        <v>2141.75</v>
      </c>
      <c r="G27" t="s">
        <v>55</v>
      </c>
      <c r="H27">
        <v>44.8</v>
      </c>
      <c r="I27">
        <v>47</v>
      </c>
      <c r="J27" s="31">
        <f>I27*H27</f>
        <v>2105.6</v>
      </c>
      <c r="K27" s="31">
        <f>(E27+9.03)-J27</f>
        <v>27.63000000000011</v>
      </c>
      <c r="L27" s="41">
        <v>40352</v>
      </c>
    </row>
    <row r="28" spans="2:12" ht="12.75">
      <c r="B28">
        <v>33</v>
      </c>
      <c r="C28" t="s">
        <v>56</v>
      </c>
      <c r="D28">
        <v>34.45</v>
      </c>
      <c r="E28">
        <f>B28*D28</f>
        <v>1136.8500000000001</v>
      </c>
      <c r="F28" s="31">
        <f>E28+K27</f>
        <v>1164.4800000000002</v>
      </c>
      <c r="G28" t="s">
        <v>27</v>
      </c>
      <c r="H28">
        <v>43.62</v>
      </c>
      <c r="I28" s="31">
        <v>26</v>
      </c>
      <c r="J28" s="31">
        <f>I28*H28</f>
        <v>1134.12</v>
      </c>
      <c r="K28" s="31">
        <f>(E28+9.03)-J28</f>
        <v>11.760000000000218</v>
      </c>
      <c r="L28" s="41">
        <v>40352</v>
      </c>
    </row>
    <row r="29" spans="2:12" ht="12.75">
      <c r="B29">
        <v>55</v>
      </c>
      <c r="C29" s="40" t="s">
        <v>57</v>
      </c>
      <c r="D29">
        <v>20.23</v>
      </c>
      <c r="E29">
        <f>B29*D29</f>
        <v>1112.65</v>
      </c>
      <c r="F29" s="31">
        <f>E29+K28</f>
        <v>1124.4100000000003</v>
      </c>
      <c r="G29" s="40" t="s">
        <v>58</v>
      </c>
      <c r="H29">
        <v>19.58</v>
      </c>
      <c r="I29" s="31">
        <v>57</v>
      </c>
      <c r="J29" s="31">
        <f>I29*H29</f>
        <v>1116.06</v>
      </c>
      <c r="K29" s="31">
        <f>(E29+9.03)-J29</f>
        <v>5.620000000000118</v>
      </c>
      <c r="L29" s="41">
        <v>40352</v>
      </c>
    </row>
    <row r="31" spans="1:12" ht="12.75">
      <c r="A31" s="40" t="s">
        <v>45</v>
      </c>
      <c r="B31">
        <v>17</v>
      </c>
      <c r="C31" s="40" t="s">
        <v>31</v>
      </c>
      <c r="D31">
        <v>47.58</v>
      </c>
      <c r="E31">
        <f>B31*D31</f>
        <v>808.86</v>
      </c>
      <c r="F31" s="31">
        <f>(9.03+E31)*0.313</f>
        <v>255.99957</v>
      </c>
      <c r="G31" s="40" t="s">
        <v>51</v>
      </c>
      <c r="H31">
        <v>36.45</v>
      </c>
      <c r="I31" s="43">
        <v>7</v>
      </c>
      <c r="J31" s="31">
        <f>I31*H31</f>
        <v>255.15000000000003</v>
      </c>
      <c r="K31" s="31">
        <f>(E31+9.03)-J31</f>
        <v>562.74</v>
      </c>
      <c r="L31" s="41">
        <v>40248</v>
      </c>
    </row>
    <row r="32" spans="6:12" ht="12.75">
      <c r="F32" s="31">
        <f>(9.03+E31)*0.188</f>
        <v>153.76332</v>
      </c>
      <c r="G32" s="40" t="s">
        <v>28</v>
      </c>
      <c r="H32">
        <v>21.53</v>
      </c>
      <c r="I32" s="42">
        <v>7</v>
      </c>
      <c r="J32" s="31">
        <f>I32*H32</f>
        <v>150.71</v>
      </c>
      <c r="K32" s="31">
        <f>K31-J32</f>
        <v>412.03</v>
      </c>
      <c r="L32" s="41">
        <v>40248</v>
      </c>
    </row>
    <row r="33" spans="6:12" ht="12.75">
      <c r="F33" s="31">
        <f>(9.03+E31)*0.375</f>
        <v>306.70875</v>
      </c>
      <c r="G33" s="40" t="s">
        <v>50</v>
      </c>
      <c r="H33">
        <v>31.2</v>
      </c>
      <c r="I33" s="43">
        <v>10</v>
      </c>
      <c r="J33" s="31">
        <f>I33*H33</f>
        <v>312</v>
      </c>
      <c r="K33" s="31">
        <f>K32-J33</f>
        <v>100.02999999999997</v>
      </c>
      <c r="L33" s="41">
        <v>40248</v>
      </c>
    </row>
    <row r="34" spans="6:12" ht="12.75">
      <c r="F34" s="31">
        <v>100.02999999999997</v>
      </c>
      <c r="G34" s="40" t="s">
        <v>52</v>
      </c>
      <c r="H34">
        <v>41.24</v>
      </c>
      <c r="I34" s="43">
        <v>2</v>
      </c>
      <c r="J34" s="31">
        <f>I34*H34</f>
        <v>82.48</v>
      </c>
      <c r="K34" s="31">
        <f>K33-J34</f>
        <v>17.54999999999997</v>
      </c>
      <c r="L34" s="41">
        <v>40248</v>
      </c>
    </row>
    <row r="36" spans="1:12" ht="12.75">
      <c r="A36" s="40" t="s">
        <v>45</v>
      </c>
      <c r="B36">
        <v>37</v>
      </c>
      <c r="C36" s="40" t="s">
        <v>46</v>
      </c>
      <c r="D36">
        <v>36.59</v>
      </c>
      <c r="E36">
        <f>B36*D36</f>
        <v>1353.8300000000002</v>
      </c>
      <c r="F36">
        <f>Sheet2!E36+15.54</f>
        <v>1369.3700000000001</v>
      </c>
      <c r="G36" s="40" t="s">
        <v>50</v>
      </c>
      <c r="H36">
        <v>23.64</v>
      </c>
      <c r="I36">
        <v>66</v>
      </c>
      <c r="J36">
        <f>H36*I36</f>
        <v>1560.24</v>
      </c>
      <c r="K36">
        <f>E40-J36</f>
        <v>1937.7900000000002</v>
      </c>
      <c r="L36" s="41">
        <v>39988</v>
      </c>
    </row>
    <row r="37" spans="1:12" ht="12.75">
      <c r="A37" s="40" t="s">
        <v>45</v>
      </c>
      <c r="B37">
        <v>37</v>
      </c>
      <c r="C37" s="40" t="s">
        <v>47</v>
      </c>
      <c r="D37">
        <v>23.1</v>
      </c>
      <c r="E37">
        <f>B37*D37</f>
        <v>854.7</v>
      </c>
      <c r="F37" s="31">
        <f>E40*0.226</f>
        <v>790.55478</v>
      </c>
      <c r="G37" s="40" t="s">
        <v>51</v>
      </c>
      <c r="H37">
        <v>30.21</v>
      </c>
      <c r="I37" s="42">
        <v>26</v>
      </c>
      <c r="J37">
        <f>H37*I37</f>
        <v>785.46</v>
      </c>
      <c r="K37">
        <f>K36-J37</f>
        <v>1152.3300000000002</v>
      </c>
      <c r="L37" s="41">
        <v>39988</v>
      </c>
    </row>
    <row r="38" spans="1:12" ht="12.75">
      <c r="A38" s="40" t="s">
        <v>45</v>
      </c>
      <c r="B38">
        <v>24</v>
      </c>
      <c r="C38" s="40" t="s">
        <v>48</v>
      </c>
      <c r="D38">
        <v>35.72</v>
      </c>
      <c r="E38">
        <f>B38*D38</f>
        <v>857.28</v>
      </c>
      <c r="F38" s="31">
        <f>E40*0.097</f>
        <v>339.30891</v>
      </c>
      <c r="G38" s="40" t="s">
        <v>28</v>
      </c>
      <c r="H38">
        <v>16</v>
      </c>
      <c r="I38" s="42">
        <v>21</v>
      </c>
      <c r="J38">
        <f>H38*I38</f>
        <v>336</v>
      </c>
      <c r="K38">
        <f>K37-J38</f>
        <v>816.3300000000002</v>
      </c>
      <c r="L38" s="41">
        <v>39988</v>
      </c>
    </row>
    <row r="39" spans="1:12" ht="12.75">
      <c r="A39" s="40" t="s">
        <v>45</v>
      </c>
      <c r="B39">
        <v>11</v>
      </c>
      <c r="C39" s="40" t="s">
        <v>49</v>
      </c>
      <c r="D39">
        <v>37.88</v>
      </c>
      <c r="E39">
        <f>B39*D39</f>
        <v>416.68</v>
      </c>
      <c r="F39" s="31">
        <f>K38</f>
        <v>816.3300000000002</v>
      </c>
      <c r="G39" s="40" t="s">
        <v>52</v>
      </c>
      <c r="H39">
        <v>31.05</v>
      </c>
      <c r="I39" s="42">
        <v>26</v>
      </c>
      <c r="J39">
        <f>H39*I39</f>
        <v>807.3000000000001</v>
      </c>
      <c r="K39" s="31">
        <f>F39-J39</f>
        <v>9.030000000000086</v>
      </c>
      <c r="L39" s="41">
        <v>39988</v>
      </c>
    </row>
    <row r="40" spans="5:11" ht="12.75">
      <c r="E40">
        <f>SUM(E36:E39)+15.54</f>
        <v>3498.03</v>
      </c>
      <c r="J40">
        <f>SUM(J36:J39)</f>
        <v>3489</v>
      </c>
      <c r="K40">
        <f>E40-J40</f>
        <v>9.0300000000002</v>
      </c>
    </row>
    <row r="42" spans="1:12" ht="12.75">
      <c r="A42" s="40" t="s">
        <v>44</v>
      </c>
      <c r="B42">
        <v>28</v>
      </c>
      <c r="C42" s="40" t="s">
        <v>28</v>
      </c>
      <c r="D42">
        <v>16.87</v>
      </c>
      <c r="E42">
        <f>B42*D42</f>
        <v>472.36</v>
      </c>
      <c r="F42">
        <f>E42+10.07</f>
        <v>482.43</v>
      </c>
      <c r="G42" s="40" t="s">
        <v>27</v>
      </c>
      <c r="H42">
        <v>36.58</v>
      </c>
      <c r="I42">
        <v>13</v>
      </c>
      <c r="J42">
        <f>H42*I42</f>
        <v>475.53999999999996</v>
      </c>
      <c r="K42">
        <f>F42-J42</f>
        <v>6.890000000000043</v>
      </c>
      <c r="L42" s="41">
        <v>39961</v>
      </c>
    </row>
    <row r="43" spans="1:12" ht="12.75">
      <c r="A43" s="40" t="s">
        <v>44</v>
      </c>
      <c r="B43">
        <v>11</v>
      </c>
      <c r="C43" s="40" t="s">
        <v>29</v>
      </c>
      <c r="D43">
        <v>39.65</v>
      </c>
      <c r="E43">
        <f>B43*D43</f>
        <v>436.15</v>
      </c>
      <c r="F43">
        <f>E43+K42</f>
        <v>443.04</v>
      </c>
      <c r="G43" s="40" t="s">
        <v>26</v>
      </c>
      <c r="H43">
        <v>22.5</v>
      </c>
      <c r="I43">
        <v>19</v>
      </c>
      <c r="J43">
        <f>H43*I43</f>
        <v>427.5</v>
      </c>
      <c r="K43">
        <f>F43-J43</f>
        <v>15.54000000000002</v>
      </c>
      <c r="L43" s="41">
        <v>39961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C2" sqref="C2:C8"/>
    </sheetView>
  </sheetViews>
  <sheetFormatPr defaultColWidth="9.140625" defaultRowHeight="12.75"/>
  <sheetData>
    <row r="1" spans="1:3" ht="12.75">
      <c r="A1" s="41">
        <v>40016</v>
      </c>
      <c r="B1" s="41">
        <v>40017</v>
      </c>
      <c r="C1" s="40" t="s">
        <v>53</v>
      </c>
    </row>
    <row r="2" spans="1:3" ht="12.75">
      <c r="A2" s="32">
        <v>26.69</v>
      </c>
      <c r="B2">
        <v>26.76</v>
      </c>
      <c r="C2">
        <f>B2-A2</f>
        <v>0.07000000000000028</v>
      </c>
    </row>
    <row r="3" spans="1:3" ht="12.75">
      <c r="A3" s="32">
        <v>31.85</v>
      </c>
      <c r="B3">
        <v>31.75</v>
      </c>
      <c r="C3">
        <f aca="true" t="shared" si="0" ref="C3:C8">B3-A3</f>
        <v>-0.10000000000000142</v>
      </c>
    </row>
    <row r="4" spans="1:3" ht="12.75">
      <c r="A4" s="32">
        <v>18.89</v>
      </c>
      <c r="B4">
        <v>18.9</v>
      </c>
      <c r="C4">
        <f t="shared" si="0"/>
        <v>0.00999999999999801</v>
      </c>
    </row>
    <row r="5" spans="1:3" ht="12.75">
      <c r="A5" s="32">
        <v>34.86</v>
      </c>
      <c r="B5">
        <v>35.09</v>
      </c>
      <c r="C5">
        <f t="shared" si="0"/>
        <v>0.23000000000000398</v>
      </c>
    </row>
    <row r="6" spans="1:3" ht="12.75">
      <c r="A6" s="32">
        <v>25.27</v>
      </c>
      <c r="B6">
        <v>25.4</v>
      </c>
      <c r="C6">
        <f t="shared" si="0"/>
        <v>0.129999999999999</v>
      </c>
    </row>
    <row r="7" spans="1:3" ht="12.75">
      <c r="A7" s="32">
        <v>31</v>
      </c>
      <c r="B7">
        <v>31.27</v>
      </c>
      <c r="C7">
        <f t="shared" si="0"/>
        <v>0.2699999999999996</v>
      </c>
    </row>
    <row r="8" spans="1:3" ht="12.75">
      <c r="A8" s="32">
        <v>24.05</v>
      </c>
      <c r="B8">
        <v>24.18</v>
      </c>
      <c r="C8">
        <f t="shared" si="0"/>
        <v>0.129999999999999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David Buss</dc:creator>
  <cp:keywords/>
  <dc:description/>
  <cp:lastModifiedBy>W David Buss</cp:lastModifiedBy>
  <cp:lastPrinted>2007-02-26T23:07:07Z</cp:lastPrinted>
  <dcterms:created xsi:type="dcterms:W3CDTF">2006-01-01T18:10:49Z</dcterms:created>
  <dcterms:modified xsi:type="dcterms:W3CDTF">2017-01-13T23:32:40Z</dcterms:modified>
  <cp:category/>
  <cp:version/>
  <cp:contentType/>
  <cp:contentStatus/>
</cp:coreProperties>
</file>