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d.docs.live.net/dd63356ff7af241a/Documents/My Web Sites/2007 DavesFavs/Members/"/>
    </mc:Choice>
  </mc:AlternateContent>
  <xr:revisionPtr revIDLastSave="0" documentId="8_{0FA1A18D-00B4-4416-A286-40284E8E9FA3}" xr6:coauthVersionLast="47" xr6:coauthVersionMax="47" xr10:uidLastSave="{00000000-0000-0000-0000-000000000000}"/>
  <bookViews>
    <workbookView xWindow="-120" yWindow="-120" windowWidth="29040" windowHeight="15840" tabRatio="902"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3" i="1" l="1"/>
  <c r="X23" i="1" s="1"/>
  <c r="W24" i="1" l="1"/>
  <c r="J3" i="2" l="1"/>
  <c r="E3" i="2"/>
  <c r="T23" i="1" l="1"/>
  <c r="W23" i="1"/>
  <c r="F3" i="2"/>
  <c r="K3" i="2"/>
  <c r="M3" i="2" s="1"/>
  <c r="AA5" i="1"/>
  <c r="AA4" i="1"/>
  <c r="J8" i="2" l="1"/>
  <c r="J7" i="2"/>
  <c r="E12" i="2"/>
  <c r="E11" i="2"/>
  <c r="E10" i="2"/>
  <c r="E9" i="2"/>
  <c r="E8" i="2"/>
  <c r="E7" i="2"/>
  <c r="E14" i="2" s="1"/>
  <c r="F7" i="2" l="1"/>
  <c r="K7" i="2"/>
  <c r="F8" i="2" s="1"/>
  <c r="K8" i="2"/>
  <c r="J14" i="2"/>
  <c r="M14" i="2" s="1"/>
  <c r="Z26" i="1"/>
  <c r="X26" i="1" s="1"/>
  <c r="W27" i="1" l="1"/>
  <c r="Z29" i="1" l="1"/>
  <c r="X29" i="1" s="1"/>
  <c r="W30" i="1" l="1"/>
  <c r="W26" i="1" l="1"/>
  <c r="T26" i="1" l="1"/>
  <c r="W29" i="1"/>
  <c r="T29" i="1" l="1"/>
  <c r="Z32" i="1" l="1"/>
  <c r="X32" i="1" s="1"/>
  <c r="W33" i="1" l="1"/>
  <c r="W32" i="1"/>
  <c r="J17" i="2" l="1"/>
  <c r="E17" i="2"/>
  <c r="J16" i="2"/>
  <c r="E16" i="2"/>
  <c r="F16" i="2" s="1"/>
  <c r="K16" i="2" l="1"/>
  <c r="F17" i="2" s="1"/>
  <c r="K17" i="2" s="1"/>
  <c r="Z35" i="1"/>
  <c r="X35" i="1" s="1"/>
  <c r="J24" i="2"/>
  <c r="K24" i="2" s="1"/>
  <c r="J23" i="2"/>
  <c r="K23" i="2" s="1"/>
  <c r="J22" i="2"/>
  <c r="K22" i="2" s="1"/>
  <c r="J21" i="2"/>
  <c r="K21" i="2"/>
  <c r="J20" i="2"/>
  <c r="K20" i="2" s="1"/>
  <c r="E25" i="2"/>
  <c r="E24" i="2"/>
  <c r="E23" i="2"/>
  <c r="E22" i="2"/>
  <c r="E21" i="2"/>
  <c r="E20" i="2"/>
  <c r="C2" i="3"/>
  <c r="C3" i="3"/>
  <c r="C4" i="3"/>
  <c r="C5" i="3"/>
  <c r="C6" i="3"/>
  <c r="C7" i="3"/>
  <c r="C8" i="3"/>
  <c r="E28" i="2"/>
  <c r="F28" i="2" s="1"/>
  <c r="J28" i="2"/>
  <c r="E29" i="2"/>
  <c r="J29" i="2"/>
  <c r="E32" i="2"/>
  <c r="J32" i="2"/>
  <c r="K32" i="2" s="1"/>
  <c r="E33" i="2"/>
  <c r="J33" i="2"/>
  <c r="K33" i="2" s="1"/>
  <c r="E34" i="2"/>
  <c r="J34" i="2"/>
  <c r="K34" i="2" s="1"/>
  <c r="E35" i="2"/>
  <c r="J35" i="2"/>
  <c r="K35" i="2" s="1"/>
  <c r="J36" i="2"/>
  <c r="K36" i="2" s="1"/>
  <c r="J37" i="2"/>
  <c r="K37" i="2" s="1"/>
  <c r="E40" i="2"/>
  <c r="J40" i="2"/>
  <c r="E41" i="2"/>
  <c r="J41" i="2"/>
  <c r="E42" i="2"/>
  <c r="J42" i="2"/>
  <c r="E43" i="2"/>
  <c r="J43" i="2"/>
  <c r="E44" i="2"/>
  <c r="E45" i="2"/>
  <c r="E46" i="2"/>
  <c r="E49" i="2"/>
  <c r="F49" i="2" s="1"/>
  <c r="J49" i="2"/>
  <c r="J50" i="2"/>
  <c r="E52" i="2"/>
  <c r="F52" i="2" s="1"/>
  <c r="J52" i="2"/>
  <c r="E53" i="2"/>
  <c r="J53" i="2"/>
  <c r="E54" i="2"/>
  <c r="J54" i="2"/>
  <c r="E56" i="2"/>
  <c r="F56" i="2" s="1"/>
  <c r="J56" i="2"/>
  <c r="J57" i="2"/>
  <c r="J58" i="2"/>
  <c r="J59" i="2"/>
  <c r="E61" i="2"/>
  <c r="F61" i="2" s="1"/>
  <c r="J61" i="2"/>
  <c r="E62" i="2"/>
  <c r="J62" i="2"/>
  <c r="E63" i="2"/>
  <c r="J63" i="2"/>
  <c r="E64" i="2"/>
  <c r="J64" i="2"/>
  <c r="E67" i="2"/>
  <c r="F67" i="2" s="1"/>
  <c r="J67" i="2"/>
  <c r="E68" i="2"/>
  <c r="J68" i="2"/>
  <c r="Z11" i="1"/>
  <c r="X11" i="1" s="1"/>
  <c r="Z14" i="1"/>
  <c r="X14" i="1" s="1"/>
  <c r="Z17" i="1"/>
  <c r="X17" i="1" s="1"/>
  <c r="Z38" i="1"/>
  <c r="X38" i="1" s="1"/>
  <c r="Z41" i="1"/>
  <c r="X41" i="1" s="1"/>
  <c r="Z44" i="1"/>
  <c r="X44" i="1" s="1"/>
  <c r="Z47" i="1"/>
  <c r="X47" i="1" s="1"/>
  <c r="Z50" i="1"/>
  <c r="X50" i="1" s="1"/>
  <c r="Z53" i="1"/>
  <c r="X53" i="1" s="1"/>
  <c r="Z56" i="1"/>
  <c r="X56" i="1" s="1"/>
  <c r="Z59" i="1"/>
  <c r="X59" i="1" s="1"/>
  <c r="Z62" i="1"/>
  <c r="X62" i="1" s="1"/>
  <c r="W62" i="1" l="1"/>
  <c r="W63" i="1"/>
  <c r="W60" i="1"/>
  <c r="W59" i="1"/>
  <c r="W57" i="1"/>
  <c r="W56" i="1"/>
  <c r="W53" i="1"/>
  <c r="W54" i="1"/>
  <c r="W51" i="1"/>
  <c r="W50" i="1"/>
  <c r="W47" i="1"/>
  <c r="W48" i="1"/>
  <c r="W45" i="1"/>
  <c r="W44" i="1"/>
  <c r="W41" i="1"/>
  <c r="W42" i="1"/>
  <c r="W39" i="1"/>
  <c r="W38" i="1"/>
  <c r="W36" i="1"/>
  <c r="W35" i="1"/>
  <c r="K28" i="2"/>
  <c r="E26" i="2"/>
  <c r="F26" i="2" s="1"/>
  <c r="K54" i="2"/>
  <c r="K56" i="2"/>
  <c r="K57" i="2" s="1"/>
  <c r="K58" i="2" s="1"/>
  <c r="K59" i="2" s="1"/>
  <c r="E47" i="2"/>
  <c r="F40" i="2" s="1"/>
  <c r="K67" i="2"/>
  <c r="F68" i="2" s="1"/>
  <c r="J47" i="2"/>
  <c r="K52" i="2"/>
  <c r="F53" i="2" s="1"/>
  <c r="E38" i="2"/>
  <c r="J65" i="2"/>
  <c r="F58" i="2"/>
  <c r="K49" i="2"/>
  <c r="E50" i="2" s="1"/>
  <c r="K50" i="2" s="1"/>
  <c r="J38" i="2"/>
  <c r="M38" i="2" s="1"/>
  <c r="J30" i="2"/>
  <c r="K68" i="2"/>
  <c r="F57" i="2"/>
  <c r="E65" i="2"/>
  <c r="K53" i="2"/>
  <c r="F54" i="2" s="1"/>
  <c r="J26" i="2"/>
  <c r="F29" i="2"/>
  <c r="K29" i="2" s="1"/>
  <c r="E30" i="2"/>
  <c r="W12" i="1"/>
  <c r="T38" i="1"/>
  <c r="T56" i="1"/>
  <c r="T20" i="1"/>
  <c r="T14" i="1"/>
  <c r="T35" i="1"/>
  <c r="T62" i="1"/>
  <c r="T17" i="1"/>
  <c r="T11" i="1"/>
  <c r="T44" i="1"/>
  <c r="T47" i="1"/>
  <c r="T41" i="1"/>
  <c r="T53" i="1"/>
  <c r="T50" i="1"/>
  <c r="W18" i="1"/>
  <c r="W17" i="1"/>
  <c r="W15" i="1"/>
  <c r="M26" i="2" l="1"/>
  <c r="F42" i="2"/>
  <c r="K42" i="2" s="1"/>
  <c r="F43" i="2"/>
  <c r="K43" i="2" s="1"/>
  <c r="F41" i="2"/>
  <c r="K41" i="2" s="1"/>
  <c r="K65" i="2"/>
  <c r="F50" i="2"/>
  <c r="F63" i="2"/>
  <c r="K61" i="2"/>
  <c r="K62" i="2" s="1"/>
  <c r="K63" i="2" s="1"/>
  <c r="F64" i="2" s="1"/>
  <c r="K64" i="2" s="1"/>
  <c r="F62" i="2"/>
  <c r="K40" i="2"/>
  <c r="T32" i="1"/>
  <c r="W14" i="1"/>
  <c r="W11" i="1"/>
  <c r="T59" i="1"/>
  <c r="B5" i="1"/>
  <c r="K47" i="2" l="1"/>
  <c r="F47" i="2"/>
  <c r="B4" i="1"/>
</calcChain>
</file>

<file path=xl/sharedStrings.xml><?xml version="1.0" encoding="utf-8"?>
<sst xmlns="http://schemas.openxmlformats.org/spreadsheetml/2006/main" count="183" uniqueCount="103">
  <si>
    <t>Name</t>
  </si>
  <si>
    <t>Symbol</t>
  </si>
  <si>
    <t>Totals</t>
  </si>
  <si>
    <t>Date Added</t>
  </si>
  <si>
    <t>Date Modified</t>
  </si>
  <si>
    <t>Original Price</t>
  </si>
  <si>
    <t>Current Price</t>
  </si>
  <si>
    <t>Difference %</t>
  </si>
  <si>
    <t>Current Daily Change</t>
  </si>
  <si>
    <t>% Daily Change</t>
  </si>
  <si>
    <t>Original  Value</t>
  </si>
  <si>
    <t>Current Value</t>
  </si>
  <si>
    <t>cash</t>
  </si>
  <si>
    <t>Current % of Portfolio</t>
  </si>
  <si>
    <t>% Gain /Loss</t>
  </si>
  <si>
    <t># of shares based on Your Investment $s</t>
  </si>
  <si>
    <t>Your Target Investment Amt</t>
  </si>
  <si>
    <t>Enter the total amount you plan to invest in the yellow cell below.  The number of shares for each stock for that total portfolio amount will be indicated in the green column.</t>
  </si>
  <si>
    <t>Gain/ Loss</t>
  </si>
  <si>
    <t># of Shares in Original Portfolio</t>
  </si>
  <si>
    <t>MTD</t>
  </si>
  <si>
    <t>Current Cost Basis</t>
  </si>
  <si>
    <t>Ann.RoR</t>
  </si>
  <si>
    <t>Start date</t>
  </si>
  <si>
    <t>Today</t>
  </si>
  <si>
    <t># of mnths</t>
  </si>
  <si>
    <t>As of close of:</t>
  </si>
  <si>
    <t>Since 3/1/07</t>
  </si>
  <si>
    <t>QTD</t>
  </si>
  <si>
    <t>YTD</t>
  </si>
  <si>
    <t>MDD</t>
  </si>
  <si>
    <t>DLS</t>
  </si>
  <si>
    <t>PDN</t>
  </si>
  <si>
    <t>DEM</t>
  </si>
  <si>
    <t>RSU</t>
  </si>
  <si>
    <t>MVV</t>
  </si>
  <si>
    <t>SAA</t>
  </si>
  <si>
    <t>Since 12/31/07</t>
  </si>
  <si>
    <t>Action</t>
  </si>
  <si>
    <t># of shrs</t>
  </si>
  <si>
    <t>Sym</t>
  </si>
  <si>
    <t>Price</t>
  </si>
  <si>
    <t>Total</t>
  </si>
  <si>
    <t>Tgt Amount</t>
  </si>
  <si>
    <t>Shares</t>
  </si>
  <si>
    <t>total</t>
  </si>
  <si>
    <t>Remainder</t>
  </si>
  <si>
    <t>Date</t>
  </si>
  <si>
    <t>sell</t>
  </si>
  <si>
    <t>Sell</t>
  </si>
  <si>
    <t>dol</t>
  </si>
  <si>
    <t>mdd</t>
  </si>
  <si>
    <t>dls</t>
  </si>
  <si>
    <t>dem</t>
  </si>
  <si>
    <t>IDV</t>
  </si>
  <si>
    <t>SCZ</t>
  </si>
  <si>
    <t>VWO</t>
  </si>
  <si>
    <t>change</t>
  </si>
  <si>
    <t>Since 12/31/08</t>
  </si>
  <si>
    <t>DNL</t>
  </si>
  <si>
    <t>scz</t>
  </si>
  <si>
    <t>pdn</t>
  </si>
  <si>
    <t>XGC</t>
  </si>
  <si>
    <t>GWX</t>
  </si>
  <si>
    <t>Since 12/31/09</t>
  </si>
  <si>
    <t>Since 12/31/10</t>
  </si>
  <si>
    <t>PIZ</t>
  </si>
  <si>
    <t>PIE</t>
  </si>
  <si>
    <t>WMW</t>
  </si>
  <si>
    <t>VB</t>
  </si>
  <si>
    <t>Since 12/31/11</t>
  </si>
  <si>
    <t>na</t>
  </si>
  <si>
    <t>VEA</t>
  </si>
  <si>
    <t>ECON</t>
  </si>
  <si>
    <t>PKW</t>
  </si>
  <si>
    <t>CSD</t>
  </si>
  <si>
    <t>RWJ</t>
  </si>
  <si>
    <t>Since 12/31/12</t>
  </si>
  <si>
    <t>PID</t>
  </si>
  <si>
    <t>DAY</t>
  </si>
  <si>
    <t>Since 12/31/13</t>
  </si>
  <si>
    <t>Since 12/31/14</t>
  </si>
  <si>
    <t>EFAV</t>
  </si>
  <si>
    <t>PCY</t>
  </si>
  <si>
    <t>EZM</t>
  </si>
  <si>
    <t>SPY</t>
  </si>
  <si>
    <t>SMLV</t>
  </si>
  <si>
    <t>Since 12/31/15</t>
  </si>
  <si>
    <t>ACWX</t>
  </si>
  <si>
    <t>Annualized Rate of Return</t>
  </si>
  <si>
    <t>Nper</t>
  </si>
  <si>
    <t>Since 12/31/16</t>
  </si>
  <si>
    <t>Since 12/31/17</t>
  </si>
  <si>
    <t>Since 12/31/18</t>
  </si>
  <si>
    <t>EMQQ</t>
  </si>
  <si>
    <t>GENY</t>
  </si>
  <si>
    <t>ARKK</t>
  </si>
  <si>
    <t>Since 12/31/19</t>
  </si>
  <si>
    <t>Baron Global Advantage Fund</t>
  </si>
  <si>
    <t>BGAFX</t>
  </si>
  <si>
    <t>PJIM Jennison Emerging Markets Equity Oppertunities</t>
  </si>
  <si>
    <t>PDEZX</t>
  </si>
  <si>
    <t>AC WORLD INDEX IMI (Large+Mid+Small Cap) 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</si>
</sst>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409]* #,##0.00_);_([$$-409]* \(#,##0.00\);_([$$-409]* &quot;-&quot;??_);_(@_)"/>
    <numFmt numFmtId="165" formatCode="dd\-mmm\-yy"/>
    <numFmt numFmtId="166" formatCode="&quot;$&quot;#,##0.00"/>
  </numFmts>
  <fonts count="6" x14ac:knownFonts="1">
    <font>
      <sz val="10"/>
      <name val="Arial"/>
    </font>
    <font>
      <b/>
      <sz val="10"/>
      <name val="Arial Narrow"/>
      <family val="2"/>
    </font>
    <font>
      <sz val="10"/>
      <name val="Arial Narrow"/>
      <family val="2"/>
    </font>
    <font>
      <b/>
      <sz val="9"/>
      <name val="Arial Narrow"/>
      <family val="2"/>
    </font>
    <font>
      <sz val="10"/>
      <name val="Arial"/>
      <family val="2"/>
    </font>
    <font>
      <b/>
      <sz val="10"/>
      <name val="Arial"/>
      <family val="2"/>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2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166" fontId="2" fillId="2" borderId="1"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10" fontId="2" fillId="0" borderId="0" xfId="0" applyNumberFormat="1" applyFont="1" applyAlignment="1" applyProtection="1">
      <alignment horizontal="center"/>
      <protection locked="0"/>
    </xf>
    <xf numFmtId="1" fontId="2" fillId="0" borderId="0" xfId="0" applyNumberFormat="1" applyFont="1" applyAlignment="1" applyProtection="1">
      <alignment horizontal="center"/>
      <protection locked="0"/>
    </xf>
    <xf numFmtId="4" fontId="2" fillId="0" borderId="0" xfId="0" applyNumberFormat="1" applyFont="1" applyAlignment="1" applyProtection="1">
      <alignment horizontal="center"/>
      <protection locked="0"/>
    </xf>
    <xf numFmtId="166" fontId="3" fillId="0" borderId="2" xfId="0" applyNumberFormat="1" applyFont="1" applyBorder="1" applyAlignment="1" applyProtection="1">
      <alignment horizontal="center" wrapText="1"/>
      <protection locked="0"/>
    </xf>
    <xf numFmtId="0" fontId="1" fillId="0" borderId="0" xfId="0" applyFont="1" applyAlignment="1" applyProtection="1">
      <alignment horizontal="center"/>
      <protection locked="0"/>
    </xf>
    <xf numFmtId="1" fontId="1" fillId="0" borderId="0" xfId="0" applyNumberFormat="1" applyFont="1" applyAlignment="1" applyProtection="1">
      <alignment horizontal="center" wrapText="1"/>
      <protection locked="0"/>
    </xf>
    <xf numFmtId="166" fontId="2" fillId="0" borderId="0" xfId="0" applyNumberFormat="1" applyFont="1" applyAlignment="1" applyProtection="1">
      <alignment horizontal="center"/>
      <protection locked="0"/>
    </xf>
    <xf numFmtId="1" fontId="3" fillId="3" borderId="3" xfId="0" applyNumberFormat="1" applyFont="1" applyFill="1" applyBorder="1" applyAlignment="1">
      <alignment horizontal="center" wrapText="1"/>
    </xf>
    <xf numFmtId="1" fontId="2" fillId="0" borderId="0" xfId="0" applyNumberFormat="1" applyFont="1" applyAlignment="1">
      <alignment horizontal="center"/>
    </xf>
    <xf numFmtId="0" fontId="1" fillId="0" borderId="4" xfId="0" applyFont="1" applyBorder="1" applyAlignment="1">
      <alignment horizontal="center"/>
    </xf>
    <xf numFmtId="0" fontId="1" fillId="0" borderId="0" xfId="0" applyFont="1" applyAlignment="1">
      <alignment horizontal="center"/>
    </xf>
    <xf numFmtId="165" fontId="1" fillId="0" borderId="0" xfId="0" applyNumberFormat="1" applyFont="1" applyAlignment="1">
      <alignment horizontal="center" wrapText="1"/>
    </xf>
    <xf numFmtId="166" fontId="1" fillId="0" borderId="0" xfId="0" applyNumberFormat="1" applyFont="1" applyAlignment="1">
      <alignment horizontal="center" wrapText="1"/>
    </xf>
    <xf numFmtId="10" fontId="1" fillId="0" borderId="0" xfId="0" applyNumberFormat="1" applyFont="1" applyAlignment="1">
      <alignment horizontal="center" wrapText="1"/>
    </xf>
    <xf numFmtId="0" fontId="2" fillId="0" borderId="4" xfId="0" applyFont="1" applyBorder="1" applyAlignment="1">
      <alignment horizontal="center"/>
    </xf>
    <xf numFmtId="0" fontId="2" fillId="0" borderId="0" xfId="0" applyFont="1" applyAlignment="1">
      <alignment horizontal="center"/>
    </xf>
    <xf numFmtId="10" fontId="2" fillId="0" borderId="0" xfId="0" applyNumberFormat="1" applyFont="1" applyAlignment="1">
      <alignment horizontal="center"/>
    </xf>
    <xf numFmtId="165" fontId="2" fillId="0" borderId="0" xfId="0" applyNumberFormat="1" applyFont="1" applyAlignment="1">
      <alignment horizontal="center"/>
    </xf>
    <xf numFmtId="166" fontId="2" fillId="0" borderId="0" xfId="0" applyNumberFormat="1" applyFont="1" applyAlignment="1">
      <alignment horizontal="center"/>
    </xf>
    <xf numFmtId="4" fontId="1" fillId="0" borderId="0" xfId="0" applyNumberFormat="1" applyFont="1" applyAlignment="1">
      <alignment horizontal="center" wrapText="1"/>
    </xf>
    <xf numFmtId="4" fontId="2" fillId="0" borderId="0" xfId="0" applyNumberFormat="1" applyFont="1" applyAlignment="1">
      <alignment horizontal="center"/>
    </xf>
    <xf numFmtId="0" fontId="2" fillId="4" borderId="0" xfId="0" applyFont="1" applyFill="1" applyAlignment="1" applyProtection="1">
      <alignment horizontal="center"/>
      <protection locked="0"/>
    </xf>
    <xf numFmtId="10" fontId="2" fillId="4" borderId="0" xfId="0" applyNumberFormat="1" applyFont="1" applyFill="1" applyAlignment="1" applyProtection="1">
      <alignment horizontal="center"/>
      <protection locked="0"/>
    </xf>
    <xf numFmtId="14" fontId="2" fillId="0" borderId="0" xfId="0" applyNumberFormat="1" applyFont="1" applyAlignment="1">
      <alignment horizontal="center"/>
    </xf>
    <xf numFmtId="10" fontId="0" fillId="0" borderId="0" xfId="0" applyNumberFormat="1"/>
    <xf numFmtId="14" fontId="2" fillId="0" borderId="0" xfId="0" applyNumberFormat="1" applyFont="1" applyAlignment="1" applyProtection="1">
      <alignment horizontal="center"/>
      <protection locked="0"/>
    </xf>
    <xf numFmtId="2" fontId="2" fillId="0" borderId="0" xfId="0" applyNumberFormat="1" applyFont="1" applyAlignment="1" applyProtection="1">
      <alignment horizontal="center"/>
      <protection locked="0"/>
    </xf>
    <xf numFmtId="166" fontId="0" fillId="0" borderId="0" xfId="0" applyNumberFormat="1"/>
    <xf numFmtId="166" fontId="0" fillId="0" borderId="0" xfId="0" applyNumberFormat="1" applyAlignment="1">
      <alignment horizontal="center"/>
    </xf>
    <xf numFmtId="10" fontId="2" fillId="4" borderId="5" xfId="0" applyNumberFormat="1" applyFont="1" applyFill="1" applyBorder="1" applyAlignment="1" applyProtection="1">
      <alignment horizontal="center"/>
      <protection locked="0"/>
    </xf>
    <xf numFmtId="2" fontId="2" fillId="0" borderId="0" xfId="0" applyNumberFormat="1" applyFont="1" applyAlignment="1">
      <alignment horizontal="center"/>
    </xf>
    <xf numFmtId="15" fontId="2" fillId="0" borderId="0" xfId="0" applyNumberFormat="1" applyFont="1" applyAlignment="1">
      <alignment horizontal="center"/>
    </xf>
    <xf numFmtId="0" fontId="5" fillId="0" borderId="0" xfId="0" applyFont="1"/>
    <xf numFmtId="0" fontId="4" fillId="0" borderId="0" xfId="0" applyFont="1"/>
    <xf numFmtId="14" fontId="0" fillId="0" borderId="0" xfId="0" applyNumberFormat="1"/>
    <xf numFmtId="4" fontId="0" fillId="0" borderId="0" xfId="0" applyNumberFormat="1"/>
    <xf numFmtId="3" fontId="0" fillId="0" borderId="0" xfId="0" applyNumberFormat="1"/>
    <xf numFmtId="0" fontId="4" fillId="0" borderId="0" xfId="0" applyFont="1" applyAlignment="1">
      <alignment horizontal="center"/>
    </xf>
    <xf numFmtId="0" fontId="0" fillId="0" borderId="0" xfId="0" applyAlignment="1">
      <alignment horizontal="center"/>
    </xf>
    <xf numFmtId="164" fontId="2" fillId="4" borderId="0" xfId="0" applyNumberFormat="1" applyFont="1" applyFill="1" applyAlignment="1" applyProtection="1">
      <alignment horizontal="center"/>
      <protection locked="0"/>
    </xf>
    <xf numFmtId="166" fontId="4" fillId="0" borderId="0" xfId="0" applyNumberFormat="1" applyFont="1" applyAlignment="1" applyProtection="1">
      <alignment horizontal="left" wrapText="1"/>
      <protection locked="0"/>
    </xf>
    <xf numFmtId="0" fontId="4" fillId="0" borderId="0" xfId="0" applyFont="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3"/>
  <sheetViews>
    <sheetView tabSelected="1" zoomScaleNormal="100" workbookViewId="0">
      <pane xSplit="3405" topLeftCell="C1" activePane="topRight"/>
      <selection activeCell="A23" sqref="A23:XFD25"/>
      <selection pane="topRight" activeCell="C4" sqref="C4:R63"/>
    </sheetView>
  </sheetViews>
  <sheetFormatPr defaultColWidth="9.140625" defaultRowHeight="12.75" x14ac:dyDescent="0.2"/>
  <cols>
    <col min="1" max="1" width="13.140625" style="9" customWidth="1"/>
    <col min="2" max="2" width="15.140625" style="4" customWidth="1"/>
    <col min="3" max="3" width="35.5703125" style="2" bestFit="1" customWidth="1"/>
    <col min="4" max="4" width="7.85546875" style="2" bestFit="1" customWidth="1"/>
    <col min="5" max="5" width="8.5703125" style="2" bestFit="1" customWidth="1"/>
    <col min="6" max="6" width="8.85546875" style="2" bestFit="1" customWidth="1"/>
    <col min="7" max="7" width="8.28515625" style="9" bestFit="1" customWidth="1"/>
    <col min="8" max="8" width="8.28515625" style="2" customWidth="1"/>
    <col min="9" max="9" width="8.7109375" style="2" bestFit="1" customWidth="1"/>
    <col min="10" max="10" width="13.5703125" style="2" customWidth="1"/>
    <col min="11" max="11" width="7.7109375" style="2" customWidth="1"/>
    <col min="12" max="12" width="14.140625" style="4" bestFit="1" customWidth="1"/>
    <col min="13" max="13" width="11.7109375" style="2" bestFit="1" customWidth="1"/>
    <col min="14" max="14" width="9.85546875" style="5" bestFit="1" customWidth="1"/>
    <col min="15" max="15" width="11.28515625" style="2" customWidth="1"/>
    <col min="16" max="16" width="8.5703125" style="2" customWidth="1"/>
    <col min="17" max="17" width="9.7109375" style="2" customWidth="1"/>
    <col min="18" max="18" width="10.140625" style="2" customWidth="1"/>
    <col min="19" max="19" width="7.85546875" style="24" customWidth="1"/>
    <col min="20" max="21" width="9.140625" style="24"/>
    <col min="22" max="22" width="9.140625" style="25"/>
    <col min="23" max="23" width="9.140625" style="3"/>
    <col min="24" max="24" width="9.140625" style="2"/>
    <col min="25" max="25" width="9.140625" style="9"/>
    <col min="26" max="16384" width="9.140625" style="2"/>
  </cols>
  <sheetData>
    <row r="1" spans="1:27" ht="40.9" customHeight="1" x14ac:dyDescent="0.2">
      <c r="A1" s="43" t="s">
        <v>17</v>
      </c>
      <c r="B1" s="44"/>
      <c r="C1" s="44"/>
      <c r="D1" s="44"/>
    </row>
    <row r="2" spans="1:27" s="7" customFormat="1" ht="39.75" thickBot="1" x14ac:dyDescent="0.3">
      <c r="A2" s="6" t="s">
        <v>16</v>
      </c>
      <c r="B2" s="10" t="s">
        <v>15</v>
      </c>
      <c r="C2" s="12" t="s">
        <v>0</v>
      </c>
      <c r="D2" s="13" t="s">
        <v>1</v>
      </c>
      <c r="E2" s="14" t="s">
        <v>3</v>
      </c>
      <c r="F2" s="14" t="s">
        <v>4</v>
      </c>
      <c r="G2" s="15" t="s">
        <v>5</v>
      </c>
      <c r="H2" s="15" t="s">
        <v>6</v>
      </c>
      <c r="I2" s="16" t="s">
        <v>7</v>
      </c>
      <c r="J2" s="16" t="s">
        <v>8</v>
      </c>
      <c r="K2" s="16" t="s">
        <v>9</v>
      </c>
      <c r="L2" s="8" t="s">
        <v>19</v>
      </c>
      <c r="M2" s="15" t="s">
        <v>10</v>
      </c>
      <c r="N2" s="22" t="s">
        <v>11</v>
      </c>
      <c r="O2" s="15" t="s">
        <v>18</v>
      </c>
      <c r="P2" s="16" t="s">
        <v>14</v>
      </c>
      <c r="Q2" s="16" t="s">
        <v>89</v>
      </c>
      <c r="R2" s="16" t="s">
        <v>13</v>
      </c>
      <c r="S2" s="32"/>
      <c r="T2" s="32"/>
      <c r="U2" s="32"/>
      <c r="V2" s="32"/>
      <c r="AA2" s="7" t="s">
        <v>90</v>
      </c>
    </row>
    <row r="3" spans="1:27" ht="13.5" thickBot="1" x14ac:dyDescent="0.25">
      <c r="A3" s="1">
        <v>0</v>
      </c>
      <c r="B3" s="11"/>
      <c r="C3" s="17"/>
      <c r="D3" s="18"/>
      <c r="E3" s="18"/>
      <c r="F3" s="18"/>
      <c r="G3" s="21"/>
      <c r="H3" s="18"/>
      <c r="I3" s="18"/>
      <c r="J3" s="18"/>
      <c r="K3" s="18"/>
      <c r="M3" s="18"/>
      <c r="N3" s="18"/>
      <c r="O3" s="18"/>
      <c r="P3" s="18"/>
      <c r="Q3" s="18"/>
      <c r="R3" s="18"/>
      <c r="V3" s="24"/>
      <c r="W3" s="2"/>
      <c r="Y3" s="2"/>
    </row>
    <row r="4" spans="1:27" x14ac:dyDescent="0.2">
      <c r="B4" s="11">
        <f t="shared" ref="B4:B5" si="0">(R4*$A$3)/H4</f>
        <v>0</v>
      </c>
      <c r="C4" s="17" t="s">
        <v>98</v>
      </c>
      <c r="D4" s="18" t="s">
        <v>99</v>
      </c>
      <c r="E4" s="20">
        <v>43845</v>
      </c>
      <c r="F4" s="26" t="s">
        <v>71</v>
      </c>
      <c r="G4" s="31">
        <v>30.18</v>
      </c>
      <c r="H4" s="31">
        <v>53.75</v>
      </c>
      <c r="I4" s="19">
        <v>0.78098078197481779</v>
      </c>
      <c r="J4" s="31">
        <v>0.21</v>
      </c>
      <c r="K4" s="27">
        <v>3.9223010833022041E-3</v>
      </c>
      <c r="L4" s="4">
        <v>1277.3881481134231</v>
      </c>
      <c r="M4" s="21">
        <v>38551.574310063108</v>
      </c>
      <c r="N4" s="21">
        <v>68659.612961096485</v>
      </c>
      <c r="O4" s="21">
        <v>30108.038651033377</v>
      </c>
      <c r="P4" s="19">
        <v>0.78098078197481768</v>
      </c>
      <c r="Q4" s="19">
        <v>0.34040782861613489</v>
      </c>
      <c r="R4" s="19">
        <v>0.83924570225960982</v>
      </c>
      <c r="V4" s="24"/>
      <c r="W4" s="2"/>
      <c r="Y4" s="2"/>
      <c r="AA4" s="29">
        <f>DAYS360(E4,$C$9)/30</f>
        <v>20.633333333333333</v>
      </c>
    </row>
    <row r="5" spans="1:27" x14ac:dyDescent="0.2">
      <c r="B5" s="11">
        <f t="shared" si="0"/>
        <v>0</v>
      </c>
      <c r="C5" s="17" t="s">
        <v>100</v>
      </c>
      <c r="D5" s="18" t="s">
        <v>101</v>
      </c>
      <c r="E5" s="20">
        <v>44201</v>
      </c>
      <c r="F5" s="26" t="s">
        <v>71</v>
      </c>
      <c r="G5" s="31">
        <v>22.75</v>
      </c>
      <c r="H5" s="31">
        <v>23.01</v>
      </c>
      <c r="I5" s="19">
        <v>1.1428571428571498E-2</v>
      </c>
      <c r="J5" s="31">
        <v>-0.45</v>
      </c>
      <c r="K5" s="27">
        <v>-1.9181585677749361E-2</v>
      </c>
      <c r="L5" s="4">
        <v>571.55522446998668</v>
      </c>
      <c r="M5" s="21">
        <v>13002.881356692196</v>
      </c>
      <c r="N5" s="21">
        <v>13151.485715054394</v>
      </c>
      <c r="O5" s="21">
        <v>148.60435836219767</v>
      </c>
      <c r="P5" s="19">
        <v>1.1428571428571517E-2</v>
      </c>
      <c r="Q5" s="19">
        <v>1.5217645021909556E-2</v>
      </c>
      <c r="R5" s="19">
        <v>0.1607542977403901</v>
      </c>
      <c r="S5" s="42"/>
      <c r="V5" s="24"/>
      <c r="W5" s="2"/>
      <c r="Y5" s="2"/>
      <c r="AA5" s="29">
        <f>DAYS360(E5,$C$9)/30</f>
        <v>8.9666666666666668</v>
      </c>
    </row>
    <row r="6" spans="1:27" x14ac:dyDescent="0.2">
      <c r="B6" s="11"/>
      <c r="C6" s="18"/>
      <c r="D6" s="18"/>
      <c r="E6" s="20"/>
      <c r="F6" s="20"/>
      <c r="G6" s="21"/>
      <c r="H6" s="21"/>
      <c r="I6" s="19"/>
      <c r="J6" s="18"/>
      <c r="K6" s="19"/>
      <c r="M6" s="21"/>
      <c r="N6" s="23"/>
      <c r="O6" s="21"/>
      <c r="P6" s="19"/>
      <c r="Q6" s="19"/>
      <c r="R6" s="19"/>
      <c r="S6" s="25"/>
      <c r="T6" s="25"/>
      <c r="U6" s="25"/>
      <c r="W6" s="2"/>
      <c r="Y6" s="2"/>
    </row>
    <row r="7" spans="1:27" x14ac:dyDescent="0.2">
      <c r="B7" s="11"/>
      <c r="C7" s="18"/>
      <c r="D7" s="18"/>
      <c r="E7" s="20"/>
      <c r="F7" s="20"/>
      <c r="G7" s="21"/>
      <c r="H7" s="21"/>
      <c r="I7" s="19"/>
      <c r="J7" s="18"/>
      <c r="K7" s="19"/>
      <c r="M7" s="21"/>
      <c r="N7" s="23"/>
      <c r="O7" s="21"/>
      <c r="P7" s="19"/>
      <c r="Q7" s="19"/>
      <c r="R7" s="19">
        <v>0.99999999999999989</v>
      </c>
      <c r="S7" s="25"/>
      <c r="T7" s="25"/>
      <c r="U7" s="25"/>
      <c r="W7" s="2"/>
      <c r="Y7" s="2"/>
    </row>
    <row r="8" spans="1:27" x14ac:dyDescent="0.2">
      <c r="B8" s="11"/>
      <c r="C8" s="2" t="s">
        <v>26</v>
      </c>
      <c r="D8" s="18"/>
      <c r="E8" s="18"/>
      <c r="F8" s="18"/>
      <c r="G8" s="21"/>
      <c r="H8" s="18"/>
      <c r="I8" s="18"/>
      <c r="J8" s="18"/>
      <c r="K8" s="18"/>
      <c r="L8" s="18" t="s">
        <v>12</v>
      </c>
      <c r="M8" s="21">
        <v>0</v>
      </c>
      <c r="N8" s="21">
        <v>0</v>
      </c>
      <c r="O8" s="18"/>
      <c r="P8" s="18"/>
      <c r="Q8" s="18"/>
      <c r="R8" s="18"/>
    </row>
    <row r="9" spans="1:27" x14ac:dyDescent="0.2">
      <c r="B9" s="11"/>
      <c r="C9" s="34">
        <v>44473</v>
      </c>
      <c r="D9" s="18"/>
      <c r="E9" s="18"/>
      <c r="F9" s="18"/>
      <c r="G9" s="21"/>
      <c r="H9" s="18"/>
      <c r="J9" s="18"/>
      <c r="K9" s="18"/>
      <c r="L9" s="4" t="s">
        <v>21</v>
      </c>
      <c r="M9" s="21">
        <v>51554.455666755304</v>
      </c>
      <c r="N9" s="21">
        <v>81811.098676150883</v>
      </c>
      <c r="O9" s="21">
        <v>30256.643009395579</v>
      </c>
      <c r="P9" s="19">
        <v>0.58688706180844152</v>
      </c>
      <c r="Q9" s="19"/>
      <c r="R9" s="18"/>
    </row>
    <row r="10" spans="1:27" x14ac:dyDescent="0.2">
      <c r="B10" s="11"/>
      <c r="C10" s="18"/>
      <c r="D10" s="18"/>
      <c r="E10" s="18"/>
      <c r="F10" s="18"/>
      <c r="G10" s="21"/>
      <c r="H10" s="18"/>
      <c r="I10" s="18"/>
      <c r="J10" s="18"/>
      <c r="K10" s="18"/>
      <c r="M10" s="18"/>
      <c r="N10" s="23"/>
      <c r="O10" s="18"/>
      <c r="P10" s="18"/>
      <c r="Q10" s="18"/>
      <c r="R10" s="18"/>
      <c r="W10" s="3" t="s">
        <v>22</v>
      </c>
      <c r="X10" s="2" t="s">
        <v>25</v>
      </c>
      <c r="Y10" s="9" t="s">
        <v>23</v>
      </c>
      <c r="Z10" s="2" t="s">
        <v>24</v>
      </c>
    </row>
    <row r="11" spans="1:27" x14ac:dyDescent="0.2">
      <c r="B11" s="11"/>
      <c r="C11" s="7"/>
      <c r="J11" s="7" t="s">
        <v>2</v>
      </c>
      <c r="L11" s="4" t="s">
        <v>29</v>
      </c>
      <c r="M11" s="21">
        <v>78228.029917054097</v>
      </c>
      <c r="N11" s="21">
        <v>81811.098676150883</v>
      </c>
      <c r="O11" s="21">
        <v>3583.0687590967864</v>
      </c>
      <c r="P11" s="19">
        <v>4.5802876064959676E-2</v>
      </c>
      <c r="Q11" s="19"/>
      <c r="T11" s="25">
        <f>P11-P12</f>
        <v>-4.9760722285558341E-2</v>
      </c>
      <c r="W11" s="3">
        <f ca="1">RATE(X11,0,M11*-1,N11)*12</f>
        <v>5.8985964431315652E-2</v>
      </c>
      <c r="X11" s="29">
        <f ca="1">DAYS360(Y11,Z11)/30</f>
        <v>9.1333333333333329</v>
      </c>
      <c r="Y11" s="28">
        <v>44196</v>
      </c>
      <c r="Z11" s="28">
        <f ca="1">TODAY()</f>
        <v>44473</v>
      </c>
    </row>
    <row r="12" spans="1:27" x14ac:dyDescent="0.2">
      <c r="B12" s="11"/>
      <c r="C12" s="7"/>
      <c r="J12" s="7" t="s">
        <v>102</v>
      </c>
      <c r="M12" s="33">
        <v>1645.365</v>
      </c>
      <c r="N12" s="23">
        <v>1802.6020000000001</v>
      </c>
      <c r="O12" s="23">
        <v>157.23700000000008</v>
      </c>
      <c r="P12" s="19">
        <v>9.5563598350518017E-2</v>
      </c>
      <c r="Q12" s="19"/>
      <c r="W12" s="3">
        <f ca="1">RATE(X11,0,M12*-1,N12)*12</f>
        <v>0.12051654081725706</v>
      </c>
    </row>
    <row r="13" spans="1:27" x14ac:dyDescent="0.2">
      <c r="B13" s="11"/>
      <c r="C13" s="7"/>
      <c r="M13" s="18"/>
      <c r="N13" s="23"/>
      <c r="O13" s="18"/>
      <c r="P13" s="18"/>
      <c r="Q13" s="18"/>
      <c r="R13" s="18"/>
    </row>
    <row r="14" spans="1:27" x14ac:dyDescent="0.2">
      <c r="B14" s="11"/>
      <c r="L14" s="4" t="s">
        <v>28</v>
      </c>
      <c r="M14" s="21">
        <v>86524.217054969078</v>
      </c>
      <c r="N14" s="21">
        <v>81811.098676150883</v>
      </c>
      <c r="O14" s="21">
        <v>-4713.1183788181952</v>
      </c>
      <c r="P14" s="19">
        <v>-5.4471667461884546E-2</v>
      </c>
      <c r="Q14" s="19"/>
      <c r="T14" s="25">
        <f>P14-P15</f>
        <v>-3.4507256643338813E-2</v>
      </c>
      <c r="W14" s="3">
        <f ca="1">RATE(X14,0,M14*-1,N14)*12</f>
        <v>-7.336645925888452E-2</v>
      </c>
      <c r="X14" s="29">
        <f ca="1">DAYS360(Y14,Z14)/30</f>
        <v>9.1333333333333329</v>
      </c>
      <c r="Y14" s="28">
        <v>44196</v>
      </c>
      <c r="Z14" s="28">
        <f ca="1">TODAY()</f>
        <v>44473</v>
      </c>
    </row>
    <row r="15" spans="1:27" x14ac:dyDescent="0.2">
      <c r="B15" s="11"/>
      <c r="M15" s="33">
        <v>1839.3230000000001</v>
      </c>
      <c r="N15" s="23">
        <v>1802.6020000000001</v>
      </c>
      <c r="O15" s="23">
        <v>-36.721000000000004</v>
      </c>
      <c r="P15" s="19">
        <v>-1.9964410818545737E-2</v>
      </c>
      <c r="Q15" s="19"/>
      <c r="W15" s="3">
        <f ca="1">RATE(X14,0,M15*-1,N15)*12</f>
        <v>-2.6466760082167938E-2</v>
      </c>
    </row>
    <row r="16" spans="1:27" x14ac:dyDescent="0.2">
      <c r="B16" s="11"/>
      <c r="M16" s="18"/>
      <c r="N16" s="23"/>
      <c r="O16" s="18"/>
      <c r="P16" s="18"/>
      <c r="Q16" s="18"/>
      <c r="R16" s="18"/>
    </row>
    <row r="17" spans="2:26" x14ac:dyDescent="0.2">
      <c r="B17" s="11"/>
      <c r="L17" s="4" t="s">
        <v>20</v>
      </c>
      <c r="M17" s="21">
        <v>81777.184807079771</v>
      </c>
      <c r="N17" s="21">
        <v>81811.098676150883</v>
      </c>
      <c r="O17" s="21">
        <v>33.913869071111549</v>
      </c>
      <c r="P17" s="19">
        <v>4.1471064516487844E-4</v>
      </c>
      <c r="Q17" s="19"/>
      <c r="T17" s="25">
        <f>P17-P18</f>
        <v>-3.8940163208643144E-3</v>
      </c>
      <c r="W17" s="3">
        <f ca="1">RATE(X17,0,M17*-1,N17)*12</f>
        <v>6.9751972720309046E-4</v>
      </c>
      <c r="X17" s="29">
        <f ca="1">DAYS360(Y17,Z17)/30</f>
        <v>7.1333333333333337</v>
      </c>
      <c r="Y17" s="28">
        <v>44255</v>
      </c>
      <c r="Z17" s="28">
        <f ca="1">TODAY()</f>
        <v>44473</v>
      </c>
    </row>
    <row r="18" spans="2:26" x14ac:dyDescent="0.2">
      <c r="B18" s="11"/>
      <c r="M18" s="33">
        <v>1811.672</v>
      </c>
      <c r="N18" s="23">
        <v>1819.4780000000001</v>
      </c>
      <c r="O18" s="23">
        <v>7.80600000000004</v>
      </c>
      <c r="P18" s="19">
        <v>4.308726966029193E-3</v>
      </c>
      <c r="Q18" s="19"/>
      <c r="W18" s="3">
        <f ca="1">RATE(X17,0,M18*-1,N18)*12</f>
        <v>7.2349350589198252E-3</v>
      </c>
    </row>
    <row r="19" spans="2:26" x14ac:dyDescent="0.2">
      <c r="B19" s="11"/>
    </row>
    <row r="20" spans="2:26" x14ac:dyDescent="0.2">
      <c r="B20" s="11"/>
      <c r="L20" s="4" t="s">
        <v>79</v>
      </c>
      <c r="M20" s="21">
        <v>82068.298527162377</v>
      </c>
      <c r="N20" s="21">
        <v>81811.098676150883</v>
      </c>
      <c r="O20" s="21">
        <v>-257.19985101149359</v>
      </c>
      <c r="P20" s="19">
        <v>-3.1339732348218165E-3</v>
      </c>
      <c r="Q20" s="19"/>
      <c r="T20" s="25">
        <f>P20-P21</f>
        <v>6.1412144838535257E-3</v>
      </c>
    </row>
    <row r="21" spans="2:26" x14ac:dyDescent="0.2">
      <c r="B21" s="11"/>
      <c r="M21" s="33">
        <v>1819.4780000000001</v>
      </c>
      <c r="N21" s="33">
        <v>1802.6020000000001</v>
      </c>
      <c r="O21" s="23">
        <v>-16.875999999999976</v>
      </c>
      <c r="P21" s="19">
        <v>-9.2751877186753422E-3</v>
      </c>
      <c r="Q21" s="19"/>
    </row>
    <row r="22" spans="2:26" x14ac:dyDescent="0.2">
      <c r="B22" s="11"/>
    </row>
    <row r="23" spans="2:26" x14ac:dyDescent="0.2">
      <c r="B23" s="11"/>
      <c r="L23" s="4" t="s">
        <v>97</v>
      </c>
      <c r="M23" s="21">
        <v>47635.099883654213</v>
      </c>
      <c r="N23" s="21">
        <v>81811.098676150883</v>
      </c>
      <c r="O23" s="21">
        <v>34175.99879249667</v>
      </c>
      <c r="P23" s="19">
        <v>0.71745412261062613</v>
      </c>
      <c r="Q23" s="19"/>
      <c r="T23" s="25">
        <f>P23-P24</f>
        <v>0.46449166834724986</v>
      </c>
      <c r="W23" s="3">
        <f ca="1">RATE(X23*12,0,M23*-1,N23)*12</f>
        <v>0.31106672270612712</v>
      </c>
      <c r="X23" s="29">
        <f ca="1">DAYS360(Y23,Z23)/30/12</f>
        <v>1.7611111111111111</v>
      </c>
      <c r="Y23" s="28">
        <v>43830</v>
      </c>
      <c r="Z23" s="28">
        <f ca="1">TODAY()</f>
        <v>44473</v>
      </c>
    </row>
    <row r="24" spans="2:26" x14ac:dyDescent="0.2">
      <c r="B24" s="11"/>
      <c r="M24" s="23">
        <v>1438.672</v>
      </c>
      <c r="N24" s="23">
        <v>1802.6020000000001</v>
      </c>
      <c r="O24" s="23">
        <v>363.93000000000006</v>
      </c>
      <c r="P24" s="19">
        <v>0.25296245426337627</v>
      </c>
      <c r="Q24" s="19"/>
      <c r="R24" s="18"/>
      <c r="W24" s="3">
        <f ca="1">RATE(X23*12,0,M24*-1,N24)*12</f>
        <v>0.12873588522317148</v>
      </c>
    </row>
    <row r="25" spans="2:26" x14ac:dyDescent="0.2">
      <c r="B25" s="11"/>
    </row>
    <row r="26" spans="2:26" x14ac:dyDescent="0.2">
      <c r="B26" s="11"/>
      <c r="L26" s="4" t="s">
        <v>93</v>
      </c>
      <c r="M26" s="21">
        <v>38082.887752843795</v>
      </c>
      <c r="N26" s="21">
        <v>81811.098676150883</v>
      </c>
      <c r="O26" s="21">
        <v>43728.210923307088</v>
      </c>
      <c r="P26" s="19">
        <v>1.1482377913959987</v>
      </c>
      <c r="Q26" s="19"/>
      <c r="T26" s="25">
        <f>P26-P27</f>
        <v>0.59640298508673739</v>
      </c>
      <c r="W26" s="3">
        <f ca="1">RATE(X26*12,0,M26*-1,N26)*12</f>
        <v>0.28015510616401512</v>
      </c>
      <c r="X26" s="29">
        <f ca="1">DAYS360(Y26,Z26)/30/12</f>
        <v>2.7611111111111111</v>
      </c>
      <c r="Y26" s="28">
        <v>43465</v>
      </c>
      <c r="Z26" s="28">
        <f ca="1">TODAY()</f>
        <v>44473</v>
      </c>
    </row>
    <row r="27" spans="2:26" x14ac:dyDescent="0.2">
      <c r="B27" s="11"/>
      <c r="M27" s="23">
        <v>1161.5940000000001</v>
      </c>
      <c r="N27" s="23">
        <v>1802.6020000000001</v>
      </c>
      <c r="O27" s="23">
        <v>641.00800000000004</v>
      </c>
      <c r="P27" s="19">
        <v>0.55183480630926129</v>
      </c>
      <c r="Q27" s="19"/>
      <c r="R27" s="18"/>
      <c r="W27" s="3">
        <f ca="1">RATE(X26*12,0,M27*-1,N27)*12</f>
        <v>0.16021266626887282</v>
      </c>
    </row>
    <row r="28" spans="2:26" x14ac:dyDescent="0.2">
      <c r="B28" s="11"/>
    </row>
    <row r="29" spans="2:26" x14ac:dyDescent="0.2">
      <c r="B29" s="11"/>
      <c r="L29" s="4" t="s">
        <v>92</v>
      </c>
      <c r="M29" s="21">
        <v>43826.23077770802</v>
      </c>
      <c r="N29" s="21">
        <v>81811.098676150883</v>
      </c>
      <c r="O29" s="21">
        <v>37984.867898442862</v>
      </c>
      <c r="P29" s="19">
        <v>0.86671537169387758</v>
      </c>
      <c r="Q29" s="19"/>
      <c r="T29" s="25">
        <f>P29-P30</f>
        <v>0.49778398905648907</v>
      </c>
      <c r="W29" s="3">
        <f ca="1">RATE(X29*12,0,M29*-1,N29)*12</f>
        <v>0.16710925612396446</v>
      </c>
      <c r="X29" s="29">
        <f ca="1">DAYS360(Y29,Z29)/30/12</f>
        <v>3.7611111111111111</v>
      </c>
      <c r="Y29" s="28">
        <v>43100</v>
      </c>
      <c r="Z29" s="28">
        <f ca="1">TODAY()</f>
        <v>44473</v>
      </c>
    </row>
    <row r="30" spans="2:26" x14ac:dyDescent="0.2">
      <c r="B30" s="11"/>
      <c r="M30" s="23">
        <v>1316.7950000000001</v>
      </c>
      <c r="N30" s="23">
        <v>1802.6020000000001</v>
      </c>
      <c r="O30" s="23">
        <v>485.80700000000002</v>
      </c>
      <c r="P30" s="19">
        <v>0.36893138263738851</v>
      </c>
      <c r="Q30" s="19"/>
      <c r="R30" s="18"/>
      <c r="W30" s="3">
        <f ca="1">RATE(X29*12,0,M30*-1,N30)*12</f>
        <v>8.3785200195320458E-2</v>
      </c>
    </row>
    <row r="31" spans="2:26" x14ac:dyDescent="0.2">
      <c r="B31" s="11"/>
    </row>
    <row r="32" spans="2:26" x14ac:dyDescent="0.2">
      <c r="B32" s="11"/>
      <c r="L32" s="4" t="s">
        <v>91</v>
      </c>
      <c r="M32" s="21">
        <v>37786.364475591916</v>
      </c>
      <c r="N32" s="21">
        <v>81811.098676150883</v>
      </c>
      <c r="O32" s="21">
        <v>44024.734200558967</v>
      </c>
      <c r="P32" s="19">
        <v>1.1650957908109081</v>
      </c>
      <c r="Q32" s="19"/>
      <c r="T32" s="25">
        <f>P32-P33</f>
        <v>0.49962991637761922</v>
      </c>
      <c r="W32" s="3">
        <f ca="1">RATE(X32*12,0,M32*-1,N32)*12</f>
        <v>0.16334637248267272</v>
      </c>
      <c r="X32" s="29">
        <f ca="1">DAYS360(Y32,Z32)/30/12</f>
        <v>4.7611111111111111</v>
      </c>
      <c r="Y32" s="28">
        <v>42735</v>
      </c>
      <c r="Z32" s="28">
        <f ca="1">TODAY()</f>
        <v>44473</v>
      </c>
    </row>
    <row r="33" spans="2:26" x14ac:dyDescent="0.2">
      <c r="B33" s="11"/>
      <c r="M33" s="23">
        <v>1082.3409999999999</v>
      </c>
      <c r="N33" s="23">
        <v>1802.6020000000001</v>
      </c>
      <c r="O33" s="23">
        <v>720.26100000000019</v>
      </c>
      <c r="P33" s="19">
        <v>0.66546587443328886</v>
      </c>
      <c r="Q33" s="19"/>
      <c r="R33" s="18"/>
      <c r="W33" s="3">
        <f ca="1">RATE(X32*12,0,M33*-1,N33)*12</f>
        <v>0.10761959968612325</v>
      </c>
    </row>
    <row r="34" spans="2:26" x14ac:dyDescent="0.2">
      <c r="B34" s="11"/>
    </row>
    <row r="35" spans="2:26" x14ac:dyDescent="0.2">
      <c r="B35" s="11"/>
      <c r="L35" s="4" t="s">
        <v>87</v>
      </c>
      <c r="M35" s="21">
        <v>35430.529786865576</v>
      </c>
      <c r="N35" s="21">
        <v>81811.098676150883</v>
      </c>
      <c r="O35" s="21">
        <v>46380.568889285307</v>
      </c>
      <c r="P35" s="19">
        <v>1.3090566008549782</v>
      </c>
      <c r="Q35" s="19"/>
      <c r="T35" s="25">
        <f>P35-P36</f>
        <v>0.54067109206456399</v>
      </c>
      <c r="W35" s="3">
        <f ca="1">RATE(X35*12,0,M35*-1,N35)*12</f>
        <v>0.14613923819035038</v>
      </c>
      <c r="X35" s="29">
        <f ca="1">DAYS360(Y35,Z35)/30/12</f>
        <v>5.761111111111112</v>
      </c>
      <c r="Y35" s="28">
        <v>42369</v>
      </c>
      <c r="Z35" s="28">
        <f ca="1">TODAY()</f>
        <v>44473</v>
      </c>
    </row>
    <row r="36" spans="2:26" x14ac:dyDescent="0.2">
      <c r="B36" s="11"/>
      <c r="M36" s="23">
        <v>1019.349</v>
      </c>
      <c r="N36" s="23">
        <v>1802.6020000000001</v>
      </c>
      <c r="O36" s="23">
        <v>783.25300000000004</v>
      </c>
      <c r="P36" s="19">
        <v>0.76838550879041423</v>
      </c>
      <c r="Q36" s="19"/>
      <c r="R36" s="18"/>
      <c r="W36" s="3">
        <f ca="1">RATE(X35*12,0,M36*-1,N36)*12</f>
        <v>9.9359969018046071E-2</v>
      </c>
    </row>
    <row r="37" spans="2:26" x14ac:dyDescent="0.2">
      <c r="B37" s="11"/>
    </row>
    <row r="38" spans="2:26" x14ac:dyDescent="0.2">
      <c r="B38" s="11"/>
      <c r="L38" s="4" t="s">
        <v>81</v>
      </c>
      <c r="M38" s="21">
        <v>37523.025311771242</v>
      </c>
      <c r="N38" s="21">
        <v>81811.098676150883</v>
      </c>
      <c r="O38" s="21">
        <v>44288.073364379641</v>
      </c>
      <c r="P38" s="19">
        <v>1.1802905814869398</v>
      </c>
      <c r="Q38" s="19"/>
      <c r="T38" s="25">
        <f>P38-P39</f>
        <v>0.48320009143448117</v>
      </c>
      <c r="W38" s="3">
        <f ca="1">RATE(X38*12,0,M38*-1,N38)*12</f>
        <v>0.11584107180545783</v>
      </c>
      <c r="X38" s="29">
        <f ca="1">DAYS360(Y38,Z38)/30/12</f>
        <v>6.761111111111112</v>
      </c>
      <c r="Y38" s="28">
        <v>42004</v>
      </c>
      <c r="Z38" s="28">
        <f ca="1">TODAY()</f>
        <v>44473</v>
      </c>
    </row>
    <row r="39" spans="2:26" x14ac:dyDescent="0.2">
      <c r="B39" s="11"/>
      <c r="M39" s="23">
        <v>1062.172</v>
      </c>
      <c r="N39" s="23">
        <v>1802.6020000000001</v>
      </c>
      <c r="O39" s="23">
        <v>740.43000000000006</v>
      </c>
      <c r="P39" s="19">
        <v>0.6970904900524586</v>
      </c>
      <c r="Q39" s="19"/>
      <c r="R39" s="18"/>
      <c r="W39" s="3">
        <f ca="1">RATE(X38*12,0,M39*-1,N39)*12</f>
        <v>7.8484597390788571E-2</v>
      </c>
    </row>
    <row r="40" spans="2:26" x14ac:dyDescent="0.2">
      <c r="B40" s="11"/>
    </row>
    <row r="41" spans="2:26" x14ac:dyDescent="0.2">
      <c r="B41" s="11"/>
      <c r="L41" s="4" t="s">
        <v>80</v>
      </c>
      <c r="M41" s="21">
        <v>36417.569097055479</v>
      </c>
      <c r="N41" s="21">
        <v>81811.098676150883</v>
      </c>
      <c r="O41" s="21">
        <v>45393.529579095404</v>
      </c>
      <c r="P41" s="19">
        <v>1.2464733562561063</v>
      </c>
      <c r="Q41" s="19"/>
      <c r="T41" s="25">
        <f>P41-P42</f>
        <v>0.51807164185533161</v>
      </c>
      <c r="W41" s="3">
        <f ca="1">RATE(X41*12,0,M41*-1,N41)*12</f>
        <v>0.10473869095630582</v>
      </c>
      <c r="X41" s="29">
        <f ca="1">DAYS360(Y41,Z41)/30/12</f>
        <v>7.761111111111112</v>
      </c>
      <c r="Y41" s="28">
        <v>41639</v>
      </c>
      <c r="Z41" s="28">
        <f ca="1">TODAY()</f>
        <v>44473</v>
      </c>
    </row>
    <row r="42" spans="2:26" x14ac:dyDescent="0.2">
      <c r="B42" s="11"/>
      <c r="M42" s="23">
        <v>1042.93</v>
      </c>
      <c r="N42" s="23">
        <v>1802.6020000000001</v>
      </c>
      <c r="O42" s="23">
        <v>759.67200000000003</v>
      </c>
      <c r="P42" s="19">
        <v>0.72840171440077472</v>
      </c>
      <c r="Q42" s="19"/>
      <c r="R42" s="18"/>
      <c r="W42" s="3">
        <f ca="1">RATE(X41*12,0,M42*-1,N42)*12</f>
        <v>7.0712526527369063E-2</v>
      </c>
    </row>
    <row r="43" spans="2:26" x14ac:dyDescent="0.2">
      <c r="B43" s="11"/>
    </row>
    <row r="44" spans="2:26" x14ac:dyDescent="0.2">
      <c r="B44" s="11"/>
      <c r="L44" s="4" t="s">
        <v>77</v>
      </c>
      <c r="M44" s="21">
        <v>28700.917028200001</v>
      </c>
      <c r="N44" s="21">
        <v>81811.098676150883</v>
      </c>
      <c r="O44" s="21">
        <v>53110.181647950885</v>
      </c>
      <c r="P44" s="19">
        <v>1.8504698506938866</v>
      </c>
      <c r="Q44" s="19"/>
      <c r="T44" s="25">
        <f>P44-P45</f>
        <v>0.75791995157172098</v>
      </c>
      <c r="W44" s="3">
        <f ca="1">RATE(X44*12,0,M44*-1,N44)*12</f>
        <v>0.12015821317113023</v>
      </c>
      <c r="X44" s="29">
        <f ca="1">DAYS360(Y44,Z44)/30/12</f>
        <v>8.7611111111111111</v>
      </c>
      <c r="Y44" s="28">
        <v>41274</v>
      </c>
      <c r="Z44" s="28">
        <f ca="1">TODAY()</f>
        <v>44473</v>
      </c>
    </row>
    <row r="45" spans="2:26" x14ac:dyDescent="0.2">
      <c r="B45" s="11"/>
      <c r="M45" s="23">
        <v>861.43799999999999</v>
      </c>
      <c r="N45" s="23">
        <v>1802.6020000000001</v>
      </c>
      <c r="O45" s="23">
        <v>941.1640000000001</v>
      </c>
      <c r="P45" s="19">
        <v>1.0925498991221656</v>
      </c>
      <c r="Q45" s="19"/>
      <c r="R45" s="18"/>
      <c r="W45" s="3">
        <f ca="1">RATE(X44*12,0,M45*-1,N45)*12</f>
        <v>8.4576303948424789E-2</v>
      </c>
    </row>
    <row r="46" spans="2:26" x14ac:dyDescent="0.2">
      <c r="B46" s="11"/>
    </row>
    <row r="47" spans="2:26" x14ac:dyDescent="0.2">
      <c r="B47" s="11"/>
      <c r="L47" s="4" t="s">
        <v>70</v>
      </c>
      <c r="M47" s="21">
        <v>30646.822500147267</v>
      </c>
      <c r="N47" s="21">
        <v>81811.098676150883</v>
      </c>
      <c r="O47" s="21">
        <v>51164.276176003616</v>
      </c>
      <c r="P47" s="19">
        <v>1.6694806182845792</v>
      </c>
      <c r="Q47" s="19"/>
      <c r="T47" s="25">
        <f>P47-P48</f>
        <v>0.72392503034990296</v>
      </c>
      <c r="W47" s="3">
        <f ca="1">RATE(X47*12,0,M47*-1,N47)*12</f>
        <v>0.10101420005656081</v>
      </c>
      <c r="X47" s="29">
        <f ca="1">DAYS360(Y47,Z47)/30/12</f>
        <v>9.7611111111111111</v>
      </c>
      <c r="Y47" s="28">
        <v>40908</v>
      </c>
      <c r="Z47" s="28">
        <f ca="1">TODAY()</f>
        <v>44473</v>
      </c>
    </row>
    <row r="48" spans="2:26" x14ac:dyDescent="0.2">
      <c r="B48" s="11"/>
      <c r="M48" s="23">
        <v>926.52300000000002</v>
      </c>
      <c r="N48" s="23">
        <v>1802.6020000000001</v>
      </c>
      <c r="O48" s="23">
        <v>876.07900000000006</v>
      </c>
      <c r="P48" s="19">
        <v>0.9455555879346762</v>
      </c>
      <c r="Q48" s="19"/>
      <c r="R48" s="18"/>
      <c r="W48" s="3">
        <f ca="1">RATE(X47*12,0,M48*-1,N48)*12</f>
        <v>6.8377664546312417E-2</v>
      </c>
    </row>
    <row r="49" spans="2:26" x14ac:dyDescent="0.2">
      <c r="B49" s="11"/>
    </row>
    <row r="50" spans="2:26" x14ac:dyDescent="0.2">
      <c r="B50" s="11"/>
      <c r="L50" s="4" t="s">
        <v>65</v>
      </c>
      <c r="M50" s="21">
        <v>28378.119682516179</v>
      </c>
      <c r="N50" s="21">
        <v>81811.098676150883</v>
      </c>
      <c r="O50" s="21">
        <v>53432.978993634708</v>
      </c>
      <c r="P50" s="19">
        <v>1.8828935669953808</v>
      </c>
      <c r="Q50" s="19"/>
      <c r="T50" s="25">
        <f>P50-P51</f>
        <v>0.73775089481651501</v>
      </c>
      <c r="W50" s="3">
        <f ca="1">RATE(X50*12,0,M50*-1,N50)*12</f>
        <v>9.8795285126600269E-2</v>
      </c>
      <c r="X50" s="29">
        <f ca="1">DAYS360(Y50,Z50)/30/12</f>
        <v>10.761111111111111</v>
      </c>
      <c r="Y50" s="28">
        <v>40543</v>
      </c>
      <c r="Z50" s="28">
        <f ca="1">TODAY()</f>
        <v>44473</v>
      </c>
    </row>
    <row r="51" spans="2:26" x14ac:dyDescent="0.2">
      <c r="B51" s="11"/>
      <c r="M51" s="23">
        <v>840.31799999999998</v>
      </c>
      <c r="N51" s="23">
        <v>1802.6020000000001</v>
      </c>
      <c r="O51" s="23">
        <v>962.28400000000011</v>
      </c>
      <c r="P51" s="19">
        <v>1.1451426721788658</v>
      </c>
      <c r="Q51" s="19"/>
      <c r="R51" s="18"/>
      <c r="W51" s="3">
        <f ca="1">RATE(X50*12,0,M51*-1,N51)*12</f>
        <v>7.1132605429056098E-2</v>
      </c>
    </row>
    <row r="52" spans="2:26" x14ac:dyDescent="0.2">
      <c r="B52" s="11"/>
    </row>
    <row r="53" spans="2:26" x14ac:dyDescent="0.2">
      <c r="B53" s="11"/>
      <c r="L53" s="4" t="s">
        <v>64</v>
      </c>
      <c r="M53" s="21">
        <v>22077.382902622128</v>
      </c>
      <c r="N53" s="21">
        <v>81811.098676150883</v>
      </c>
      <c r="O53" s="21">
        <v>59733.715773528755</v>
      </c>
      <c r="P53" s="19">
        <v>2.7056520257405232</v>
      </c>
      <c r="Q53" s="19"/>
      <c r="T53" s="25">
        <f>P53-P54</f>
        <v>1.2994813648118539</v>
      </c>
      <c r="W53" s="3">
        <f ca="1">RATE(X53*12,0,M53*-1,N53)*12</f>
        <v>0.11189048974681945</v>
      </c>
      <c r="X53" s="29">
        <f ca="1">DAYS360(Y53,Z53)/30/12</f>
        <v>11.761111111111111</v>
      </c>
      <c r="Y53" s="28">
        <v>40178</v>
      </c>
      <c r="Z53" s="28">
        <f ca="1">TODAY()</f>
        <v>44473</v>
      </c>
    </row>
    <row r="54" spans="2:26" x14ac:dyDescent="0.2">
      <c r="B54" s="11"/>
      <c r="M54" s="23">
        <v>749.15800000000002</v>
      </c>
      <c r="N54" s="23">
        <v>1802.6020000000001</v>
      </c>
      <c r="O54" s="23">
        <v>1053.444</v>
      </c>
      <c r="P54" s="19">
        <v>1.4061706609286693</v>
      </c>
      <c r="Q54" s="19"/>
      <c r="R54" s="18"/>
      <c r="W54" s="3">
        <f ca="1">RATE(X53*12,0,M54*-1,N54)*12</f>
        <v>7.4888629739049681E-2</v>
      </c>
    </row>
    <row r="55" spans="2:26" x14ac:dyDescent="0.2">
      <c r="B55" s="11"/>
    </row>
    <row r="56" spans="2:26" x14ac:dyDescent="0.2">
      <c r="B56" s="11"/>
      <c r="L56" s="4" t="s">
        <v>58</v>
      </c>
      <c r="M56" s="21">
        <v>15514.93447</v>
      </c>
      <c r="N56" s="21">
        <v>81811.098676150883</v>
      </c>
      <c r="O56" s="21">
        <v>66296.16420615089</v>
      </c>
      <c r="P56" s="19">
        <v>4.2730547353804509</v>
      </c>
      <c r="Q56" s="19"/>
      <c r="T56" s="25">
        <f>P56-P57</f>
        <v>2.0644360098553527</v>
      </c>
      <c r="W56" s="3">
        <f ca="1">RATE(X56*12,0,M56*-1,N56)*12</f>
        <v>0.13099708021751438</v>
      </c>
      <c r="X56" s="29">
        <f ca="1">DAYS360(Y56,Z56)/30/12</f>
        <v>12.761111111111111</v>
      </c>
      <c r="Y56" s="28">
        <v>39813</v>
      </c>
      <c r="Z56" s="28">
        <f ca="1">TODAY()</f>
        <v>44473</v>
      </c>
    </row>
    <row r="57" spans="2:26" x14ac:dyDescent="0.2">
      <c r="B57" s="11"/>
      <c r="M57" s="33">
        <v>561.79999999999995</v>
      </c>
      <c r="N57" s="23">
        <v>1802.6020000000001</v>
      </c>
      <c r="O57" s="23">
        <v>1240.8020000000001</v>
      </c>
      <c r="P57" s="19">
        <v>2.2086187255250982</v>
      </c>
      <c r="Q57" s="19"/>
      <c r="R57" s="18"/>
      <c r="W57" s="3">
        <f ca="1">RATE(X56*12,0,M57*-1,N57)*12</f>
        <v>9.170751084416616E-2</v>
      </c>
    </row>
    <row r="59" spans="2:26" x14ac:dyDescent="0.2">
      <c r="L59" s="4" t="s">
        <v>37</v>
      </c>
      <c r="M59" s="21">
        <v>28889.418739999997</v>
      </c>
      <c r="N59" s="21">
        <v>81811.098676150883</v>
      </c>
      <c r="O59" s="21">
        <v>52921.679936150889</v>
      </c>
      <c r="P59" s="19">
        <v>1.8318707071415066</v>
      </c>
      <c r="Q59" s="19"/>
      <c r="T59" s="25">
        <f>P59-P60</f>
        <v>1.0237702737234822</v>
      </c>
      <c r="W59" s="3">
        <f ca="1">RATE(X59*12,0,M59*-1,N59)*12</f>
        <v>7.5882336328194425E-2</v>
      </c>
      <c r="X59" s="29">
        <f ca="1">DAYS360(Y59,Z59)/30/12</f>
        <v>13.761111111111111</v>
      </c>
      <c r="Y59" s="28">
        <v>39447</v>
      </c>
      <c r="Z59" s="28">
        <f ca="1">TODAY()</f>
        <v>44473</v>
      </c>
    </row>
    <row r="60" spans="2:26" x14ac:dyDescent="0.2">
      <c r="M60" s="18">
        <v>996.95899999999995</v>
      </c>
      <c r="N60" s="23">
        <v>1802.6020000000001</v>
      </c>
      <c r="O60" s="23">
        <v>805.64300000000014</v>
      </c>
      <c r="P60" s="19">
        <v>0.8081004334180244</v>
      </c>
      <c r="Q60" s="19"/>
      <c r="R60" s="18"/>
      <c r="W60" s="3">
        <f ca="1">RATE(X59*12,0,M60*-1,N60)*12</f>
        <v>4.3117174427168892E-2</v>
      </c>
    </row>
    <row r="61" spans="2:26" x14ac:dyDescent="0.2">
      <c r="M61" s="18"/>
      <c r="N61" s="23"/>
      <c r="O61" s="23"/>
      <c r="P61" s="19"/>
      <c r="Q61" s="19"/>
      <c r="R61" s="18"/>
    </row>
    <row r="62" spans="2:26" x14ac:dyDescent="0.2">
      <c r="L62" s="4" t="s">
        <v>27</v>
      </c>
      <c r="M62" s="21">
        <v>25000</v>
      </c>
      <c r="N62" s="21">
        <v>81811.098676150883</v>
      </c>
      <c r="O62" s="21">
        <v>56811.098676150883</v>
      </c>
      <c r="P62" s="19">
        <v>2.2724439470460354</v>
      </c>
      <c r="Q62" s="19"/>
      <c r="T62" s="25">
        <f>P62-P63</f>
        <v>1.295353861550639</v>
      </c>
      <c r="W62" s="3">
        <f ca="1">RATE(X62*12,0,M62*-1,N62)*12</f>
        <v>8.1523215011958042E-2</v>
      </c>
      <c r="X62" s="29">
        <f ca="1">DAYS360(Y62,Z62)/30/12</f>
        <v>14.591666666666667</v>
      </c>
      <c r="Y62" s="28">
        <v>39142</v>
      </c>
      <c r="Z62" s="28">
        <f ca="1">TODAY()</f>
        <v>44473</v>
      </c>
    </row>
    <row r="63" spans="2:26" x14ac:dyDescent="0.2">
      <c r="M63" s="18">
        <v>911.745</v>
      </c>
      <c r="N63" s="23">
        <v>1802.6020000000001</v>
      </c>
      <c r="O63" s="23">
        <v>890.85700000000008</v>
      </c>
      <c r="P63" s="19">
        <v>0.97709008549539633</v>
      </c>
      <c r="Q63" s="19"/>
      <c r="R63" s="18"/>
      <c r="W63" s="3">
        <f ca="1">RATE(X62*12,0,M63*-1,N63)*12</f>
        <v>4.6804423347719101E-2</v>
      </c>
    </row>
  </sheetData>
  <sheetProtection selectLockedCells="1"/>
  <protectedRanges>
    <protectedRange sqref="A3" name="Total Investment Amount"/>
  </protectedRanges>
  <mergeCells count="1">
    <mergeCell ref="A1:D1"/>
  </mergeCells>
  <phoneticPr fontId="0" type="noConversion"/>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8"/>
  <sheetViews>
    <sheetView workbookViewId="0">
      <selection activeCell="K3" sqref="K3"/>
    </sheetView>
  </sheetViews>
  <sheetFormatPr defaultRowHeight="12.75" x14ac:dyDescent="0.2"/>
  <cols>
    <col min="5" max="6" width="10.140625" bestFit="1" customWidth="1"/>
    <col min="10" max="10" width="10.140625" bestFit="1" customWidth="1"/>
    <col min="11" max="11" width="11" customWidth="1"/>
    <col min="12" max="13" width="10.140625" bestFit="1" customWidth="1"/>
  </cols>
  <sheetData>
    <row r="1" spans="1:13" x14ac:dyDescent="0.2">
      <c r="A1" s="35" t="s">
        <v>38</v>
      </c>
      <c r="B1" s="35" t="s">
        <v>39</v>
      </c>
      <c r="C1" s="35" t="s">
        <v>40</v>
      </c>
      <c r="D1" s="35" t="s">
        <v>41</v>
      </c>
      <c r="E1" s="35" t="s">
        <v>42</v>
      </c>
      <c r="F1" s="35" t="s">
        <v>43</v>
      </c>
      <c r="G1" s="35" t="s">
        <v>1</v>
      </c>
      <c r="H1" s="35" t="s">
        <v>41</v>
      </c>
      <c r="I1" s="35" t="s">
        <v>44</v>
      </c>
      <c r="J1" s="35" t="s">
        <v>45</v>
      </c>
      <c r="K1" s="35" t="s">
        <v>46</v>
      </c>
      <c r="L1" s="35" t="s">
        <v>47</v>
      </c>
    </row>
    <row r="3" spans="1:13" x14ac:dyDescent="0.2">
      <c r="A3" s="36" t="s">
        <v>49</v>
      </c>
      <c r="B3">
        <v>430</v>
      </c>
      <c r="C3" t="s">
        <v>95</v>
      </c>
      <c r="D3">
        <v>49.59</v>
      </c>
      <c r="E3" s="30">
        <f t="shared" ref="E3" si="0">B3*D3</f>
        <v>21323.7</v>
      </c>
      <c r="F3" s="30">
        <f>E3+0.75</f>
        <v>21324.45</v>
      </c>
      <c r="G3" t="s">
        <v>96</v>
      </c>
      <c r="H3">
        <v>92.22</v>
      </c>
      <c r="I3" s="30">
        <v>231</v>
      </c>
      <c r="J3" s="30">
        <f>I3*H3</f>
        <v>21302.82</v>
      </c>
      <c r="K3" s="30">
        <f>F3-J3</f>
        <v>21.630000000001019</v>
      </c>
      <c r="L3" s="37">
        <v>44138</v>
      </c>
      <c r="M3" s="30">
        <f>E3+0.75-J3-K3</f>
        <v>0</v>
      </c>
    </row>
    <row r="7" spans="1:13" x14ac:dyDescent="0.2">
      <c r="A7" s="36" t="s">
        <v>49</v>
      </c>
      <c r="B7" s="41">
        <v>70</v>
      </c>
      <c r="C7" t="s">
        <v>88</v>
      </c>
      <c r="D7">
        <v>49.61</v>
      </c>
      <c r="E7" s="30">
        <f t="shared" ref="E7:E12" si="1">B7*D7</f>
        <v>3472.7</v>
      </c>
      <c r="F7" s="30">
        <f>(E14*0.2)+216.04</f>
        <v>4858.1900000000005</v>
      </c>
      <c r="G7" t="s">
        <v>94</v>
      </c>
      <c r="H7">
        <v>38.020000000000003</v>
      </c>
      <c r="I7" s="38">
        <v>127</v>
      </c>
      <c r="J7" s="30">
        <f>I7*H7</f>
        <v>4828.54</v>
      </c>
      <c r="K7" s="30">
        <f>F7-J7</f>
        <v>29.650000000000546</v>
      </c>
      <c r="L7" s="37">
        <v>43845</v>
      </c>
    </row>
    <row r="8" spans="1:13" x14ac:dyDescent="0.2">
      <c r="A8" s="36" t="s">
        <v>49</v>
      </c>
      <c r="B8" s="41">
        <v>62</v>
      </c>
      <c r="C8" t="s">
        <v>55</v>
      </c>
      <c r="D8">
        <v>62.05</v>
      </c>
      <c r="E8" s="30">
        <f t="shared" si="1"/>
        <v>3847.1</v>
      </c>
      <c r="F8" s="30">
        <f>(E14*0.8)+K7</f>
        <v>18598.250000000004</v>
      </c>
      <c r="G8" s="36" t="s">
        <v>95</v>
      </c>
      <c r="H8">
        <v>43.25</v>
      </c>
      <c r="I8" s="38">
        <v>430</v>
      </c>
      <c r="J8" s="30">
        <f>I8*H8</f>
        <v>18597.5</v>
      </c>
      <c r="K8" s="30">
        <f>F8-J8</f>
        <v>0.75000000000363798</v>
      </c>
      <c r="L8" s="37">
        <v>43845</v>
      </c>
    </row>
    <row r="9" spans="1:13" x14ac:dyDescent="0.2">
      <c r="A9" s="36" t="s">
        <v>49</v>
      </c>
      <c r="B9" s="41">
        <v>74</v>
      </c>
      <c r="C9" t="s">
        <v>56</v>
      </c>
      <c r="D9">
        <v>45.54</v>
      </c>
      <c r="E9" s="30">
        <f t="shared" si="1"/>
        <v>3369.96</v>
      </c>
    </row>
    <row r="10" spans="1:13" x14ac:dyDescent="0.2">
      <c r="A10" s="36" t="s">
        <v>49</v>
      </c>
      <c r="B10" s="41">
        <v>14</v>
      </c>
      <c r="C10" t="s">
        <v>85</v>
      </c>
      <c r="D10">
        <v>327.35000000000002</v>
      </c>
      <c r="E10" s="30">
        <f t="shared" si="1"/>
        <v>4582.9000000000005</v>
      </c>
    </row>
    <row r="11" spans="1:13" x14ac:dyDescent="0.2">
      <c r="A11" s="36" t="s">
        <v>49</v>
      </c>
      <c r="B11" s="41">
        <v>96</v>
      </c>
      <c r="C11" t="s">
        <v>84</v>
      </c>
      <c r="D11">
        <v>42.1</v>
      </c>
      <c r="E11" s="30">
        <f t="shared" si="1"/>
        <v>4041.6000000000004</v>
      </c>
    </row>
    <row r="12" spans="1:13" x14ac:dyDescent="0.2">
      <c r="A12" s="36" t="s">
        <v>49</v>
      </c>
      <c r="B12" s="41">
        <v>39</v>
      </c>
      <c r="C12" t="s">
        <v>86</v>
      </c>
      <c r="D12">
        <v>99.91</v>
      </c>
      <c r="E12" s="30">
        <f t="shared" si="1"/>
        <v>3896.49</v>
      </c>
    </row>
    <row r="13" spans="1:13" x14ac:dyDescent="0.2">
      <c r="A13" s="36" t="s">
        <v>49</v>
      </c>
    </row>
    <row r="14" spans="1:13" x14ac:dyDescent="0.2">
      <c r="A14" s="36" t="s">
        <v>49</v>
      </c>
      <c r="E14" s="30">
        <f>SUM(E7:E13)</f>
        <v>23210.75</v>
      </c>
      <c r="J14" s="30">
        <f>SUM(J7:J13)</f>
        <v>23426.04</v>
      </c>
      <c r="M14" s="30">
        <f>E14+216.04-J14-K8</f>
        <v>-3.637978807091713E-12</v>
      </c>
    </row>
    <row r="16" spans="1:13" x14ac:dyDescent="0.2">
      <c r="A16" s="36" t="s">
        <v>49</v>
      </c>
      <c r="B16">
        <v>45</v>
      </c>
      <c r="C16" s="36" t="s">
        <v>82</v>
      </c>
      <c r="D16">
        <v>66.45</v>
      </c>
      <c r="E16" s="30">
        <f t="shared" ref="E16:E17" si="2">B16*D16</f>
        <v>2990.25</v>
      </c>
      <c r="F16" s="30">
        <f>E16+18.83</f>
        <v>3009.08</v>
      </c>
      <c r="G16" s="36" t="s">
        <v>88</v>
      </c>
      <c r="H16">
        <v>43.48</v>
      </c>
      <c r="I16" s="38">
        <v>69</v>
      </c>
      <c r="J16" s="30">
        <f>I16*H16</f>
        <v>3000.12</v>
      </c>
      <c r="K16" s="30">
        <f>F16-J16</f>
        <v>8.9600000000000364</v>
      </c>
      <c r="L16" s="37">
        <v>42845</v>
      </c>
    </row>
    <row r="17" spans="1:13" x14ac:dyDescent="0.2">
      <c r="A17" s="36" t="s">
        <v>49</v>
      </c>
      <c r="B17">
        <v>101</v>
      </c>
      <c r="C17" s="36" t="s">
        <v>83</v>
      </c>
      <c r="D17">
        <v>29.31</v>
      </c>
      <c r="E17" s="30">
        <f t="shared" si="2"/>
        <v>2960.31</v>
      </c>
      <c r="F17" s="30">
        <f>E17+K16</f>
        <v>2969.27</v>
      </c>
      <c r="G17" s="36" t="s">
        <v>56</v>
      </c>
      <c r="H17">
        <v>39.71</v>
      </c>
      <c r="I17" s="38">
        <v>74</v>
      </c>
      <c r="J17" s="30">
        <f>I17*H17</f>
        <v>2938.54</v>
      </c>
      <c r="K17" s="30">
        <f>F17-J17</f>
        <v>30.730000000000018</v>
      </c>
      <c r="L17" s="37">
        <v>42845</v>
      </c>
    </row>
    <row r="20" spans="1:13" x14ac:dyDescent="0.2">
      <c r="A20" s="36" t="s">
        <v>49</v>
      </c>
      <c r="B20">
        <v>23</v>
      </c>
      <c r="C20" t="s">
        <v>55</v>
      </c>
      <c r="D20">
        <v>50.24</v>
      </c>
      <c r="E20" s="30">
        <f t="shared" ref="E20:E25" si="3">B20*D20</f>
        <v>1155.52</v>
      </c>
      <c r="F20">
        <v>3069.17</v>
      </c>
      <c r="G20" t="s">
        <v>82</v>
      </c>
      <c r="H20">
        <v>67.13</v>
      </c>
      <c r="I20">
        <v>45</v>
      </c>
      <c r="J20" s="30">
        <f>I20*H20</f>
        <v>3020.85</v>
      </c>
      <c r="K20" s="30">
        <f>F20-J20</f>
        <v>48.320000000000164</v>
      </c>
      <c r="L20" s="37">
        <v>42587</v>
      </c>
    </row>
    <row r="21" spans="1:13" x14ac:dyDescent="0.2">
      <c r="A21" s="36" t="s">
        <v>49</v>
      </c>
      <c r="B21">
        <v>220</v>
      </c>
      <c r="C21" t="s">
        <v>78</v>
      </c>
      <c r="D21">
        <v>14.25</v>
      </c>
      <c r="E21" s="30">
        <f t="shared" si="3"/>
        <v>3135</v>
      </c>
      <c r="F21">
        <v>3081.25</v>
      </c>
      <c r="G21" t="s">
        <v>83</v>
      </c>
      <c r="H21">
        <v>30.21</v>
      </c>
      <c r="I21">
        <v>101</v>
      </c>
      <c r="J21" s="30">
        <f>I21*H21</f>
        <v>3051.21</v>
      </c>
      <c r="K21" s="30">
        <f>F21-J21</f>
        <v>30.039999999999964</v>
      </c>
      <c r="L21" s="37">
        <v>42587</v>
      </c>
    </row>
    <row r="22" spans="1:13" x14ac:dyDescent="0.2">
      <c r="A22" s="36" t="s">
        <v>49</v>
      </c>
      <c r="B22">
        <v>41</v>
      </c>
      <c r="C22" t="s">
        <v>56</v>
      </c>
      <c r="D22">
        <v>37.32</v>
      </c>
      <c r="E22" s="30">
        <f t="shared" si="3"/>
        <v>1530.1200000000001</v>
      </c>
      <c r="F22">
        <v>3091.27</v>
      </c>
      <c r="G22" t="s">
        <v>84</v>
      </c>
      <c r="H22">
        <v>95.1</v>
      </c>
      <c r="I22">
        <v>32</v>
      </c>
      <c r="J22" s="30">
        <f>I22*H22</f>
        <v>3043.2</v>
      </c>
      <c r="K22" s="30">
        <f>F22-J22</f>
        <v>48.070000000000164</v>
      </c>
      <c r="L22" s="37">
        <v>42587</v>
      </c>
    </row>
    <row r="23" spans="1:13" x14ac:dyDescent="0.2">
      <c r="A23" s="36" t="s">
        <v>49</v>
      </c>
      <c r="B23">
        <v>104</v>
      </c>
      <c r="C23" t="s">
        <v>74</v>
      </c>
      <c r="D23">
        <v>47.09</v>
      </c>
      <c r="E23" s="30">
        <f t="shared" si="3"/>
        <v>4897.3600000000006</v>
      </c>
      <c r="F23">
        <v>3115.31</v>
      </c>
      <c r="G23" t="s">
        <v>85</v>
      </c>
      <c r="H23">
        <v>216.41</v>
      </c>
      <c r="I23">
        <v>14</v>
      </c>
      <c r="J23" s="30">
        <f>I23*H23</f>
        <v>3029.74</v>
      </c>
      <c r="K23" s="30">
        <f>F23-J23</f>
        <v>85.570000000000164</v>
      </c>
      <c r="L23" s="37">
        <v>42587</v>
      </c>
    </row>
    <row r="24" spans="1:13" x14ac:dyDescent="0.2">
      <c r="A24" s="36" t="s">
        <v>49</v>
      </c>
      <c r="B24">
        <v>49</v>
      </c>
      <c r="C24" t="s">
        <v>75</v>
      </c>
      <c r="D24">
        <v>42.27</v>
      </c>
      <c r="E24" s="30">
        <f t="shared" si="3"/>
        <v>2071.23</v>
      </c>
      <c r="F24">
        <v>3200.87</v>
      </c>
      <c r="G24" t="s">
        <v>86</v>
      </c>
      <c r="H24">
        <v>81.59</v>
      </c>
      <c r="I24">
        <v>39</v>
      </c>
      <c r="J24" s="30">
        <f>I24*H24</f>
        <v>3182.01</v>
      </c>
      <c r="K24" s="30">
        <f>F24-J24</f>
        <v>18.859999999999673</v>
      </c>
      <c r="L24" s="37">
        <v>42587</v>
      </c>
    </row>
    <row r="25" spans="1:13" x14ac:dyDescent="0.2">
      <c r="A25" s="36" t="s">
        <v>49</v>
      </c>
      <c r="B25">
        <v>42</v>
      </c>
      <c r="C25" t="s">
        <v>76</v>
      </c>
      <c r="D25">
        <v>58.22</v>
      </c>
      <c r="E25" s="30">
        <f t="shared" si="3"/>
        <v>2445.2399999999998</v>
      </c>
      <c r="J25" s="30"/>
      <c r="K25" s="30"/>
      <c r="L25" s="37"/>
    </row>
    <row r="26" spans="1:13" x14ac:dyDescent="0.2">
      <c r="E26" s="30">
        <f>SUM(E20:E25)+111.37</f>
        <v>15345.84</v>
      </c>
      <c r="F26" s="30">
        <f>SUM(E26)</f>
        <v>15345.84</v>
      </c>
      <c r="J26" s="30">
        <f>SUM(J20:J25)</f>
        <v>15327.009999999998</v>
      </c>
      <c r="M26" s="30">
        <f>E26-J26</f>
        <v>18.830000000001746</v>
      </c>
    </row>
    <row r="28" spans="1:13" x14ac:dyDescent="0.2">
      <c r="A28" s="36" t="s">
        <v>49</v>
      </c>
      <c r="B28">
        <v>102</v>
      </c>
      <c r="C28" s="36" t="s">
        <v>72</v>
      </c>
      <c r="D28">
        <v>41.1</v>
      </c>
      <c r="E28" s="30">
        <f>B28*D28</f>
        <v>4192.2</v>
      </c>
      <c r="F28" s="30">
        <f>E28+26.55</f>
        <v>4218.75</v>
      </c>
      <c r="G28" s="36" t="s">
        <v>78</v>
      </c>
      <c r="H28">
        <v>19.36</v>
      </c>
      <c r="I28" s="38">
        <v>220</v>
      </c>
      <c r="J28" s="30">
        <f>I28*H28</f>
        <v>4259.2</v>
      </c>
      <c r="K28" s="30">
        <f>F28-J28</f>
        <v>-40.449999999999818</v>
      </c>
      <c r="L28" s="37">
        <v>41897</v>
      </c>
    </row>
    <row r="29" spans="1:13" x14ac:dyDescent="0.2">
      <c r="A29" s="36" t="s">
        <v>49</v>
      </c>
      <c r="B29">
        <v>68</v>
      </c>
      <c r="C29" s="36" t="s">
        <v>73</v>
      </c>
      <c r="D29">
        <v>27.26</v>
      </c>
      <c r="E29" s="30">
        <f>B29*D29</f>
        <v>1853.68</v>
      </c>
      <c r="F29" s="30">
        <f>E29+K28</f>
        <v>1813.2300000000002</v>
      </c>
      <c r="G29" s="36" t="s">
        <v>56</v>
      </c>
      <c r="H29">
        <v>44.21</v>
      </c>
      <c r="I29" s="38">
        <v>41</v>
      </c>
      <c r="J29" s="30">
        <f>I29*H29</f>
        <v>1812.6100000000001</v>
      </c>
      <c r="K29" s="30">
        <f>F29-J29</f>
        <v>0.62000000000011823</v>
      </c>
      <c r="L29" s="37">
        <v>41897</v>
      </c>
    </row>
    <row r="30" spans="1:13" x14ac:dyDescent="0.2">
      <c r="A30" s="36"/>
      <c r="C30" s="36"/>
      <c r="E30" s="30">
        <f>SUM(E28:E29)</f>
        <v>6045.88</v>
      </c>
      <c r="J30" s="30">
        <f>SUM(J28:J29)</f>
        <v>6071.8099999999995</v>
      </c>
    </row>
    <row r="32" spans="1:13" x14ac:dyDescent="0.2">
      <c r="A32" s="36" t="s">
        <v>49</v>
      </c>
      <c r="B32" s="41">
        <v>150</v>
      </c>
      <c r="C32" t="s">
        <v>66</v>
      </c>
      <c r="D32">
        <v>25.5</v>
      </c>
      <c r="E32" s="30">
        <f>B32*D32</f>
        <v>3825</v>
      </c>
      <c r="F32">
        <v>4212.1000000000004</v>
      </c>
      <c r="G32" s="36" t="s">
        <v>72</v>
      </c>
      <c r="H32">
        <v>40.92</v>
      </c>
      <c r="I32">
        <v>102</v>
      </c>
      <c r="J32" s="30">
        <f t="shared" ref="J32:J37" si="4">I32*H32</f>
        <v>4173.84</v>
      </c>
      <c r="K32" s="30">
        <f t="shared" ref="K32:K37" si="5">F32-J32</f>
        <v>38.260000000000218</v>
      </c>
      <c r="L32" s="37">
        <v>41565</v>
      </c>
    </row>
    <row r="33" spans="1:13" x14ac:dyDescent="0.2">
      <c r="A33" s="36" t="s">
        <v>49</v>
      </c>
      <c r="B33" s="41">
        <v>161</v>
      </c>
      <c r="C33" t="s">
        <v>67</v>
      </c>
      <c r="D33">
        <v>19.11</v>
      </c>
      <c r="E33" s="30">
        <f>B33*D33</f>
        <v>3076.71</v>
      </c>
      <c r="F33">
        <v>4250.66</v>
      </c>
      <c r="G33" s="36" t="s">
        <v>55</v>
      </c>
      <c r="H33">
        <v>50.14</v>
      </c>
      <c r="I33">
        <v>84</v>
      </c>
      <c r="J33" s="30">
        <f t="shared" si="4"/>
        <v>4211.76</v>
      </c>
      <c r="K33" s="30">
        <f t="shared" si="5"/>
        <v>38.899999999999636</v>
      </c>
      <c r="L33" s="37">
        <v>41565</v>
      </c>
    </row>
    <row r="34" spans="1:13" x14ac:dyDescent="0.2">
      <c r="A34" s="36" t="s">
        <v>49</v>
      </c>
      <c r="B34" s="41">
        <v>436</v>
      </c>
      <c r="C34" t="s">
        <v>68</v>
      </c>
      <c r="D34">
        <v>18.79</v>
      </c>
      <c r="E34" s="30">
        <f>B34*D34</f>
        <v>8192.44</v>
      </c>
      <c r="F34">
        <v>1911.08</v>
      </c>
      <c r="G34" s="36" t="s">
        <v>73</v>
      </c>
      <c r="H34">
        <v>27.91</v>
      </c>
      <c r="I34">
        <v>68</v>
      </c>
      <c r="J34" s="30">
        <f t="shared" si="4"/>
        <v>1897.88</v>
      </c>
      <c r="K34" s="30">
        <f t="shared" si="5"/>
        <v>13.199999999999818</v>
      </c>
      <c r="L34" s="37">
        <v>41565</v>
      </c>
    </row>
    <row r="35" spans="1:13" x14ac:dyDescent="0.2">
      <c r="A35" s="36" t="s">
        <v>49</v>
      </c>
      <c r="B35" s="41">
        <v>34</v>
      </c>
      <c r="C35" t="s">
        <v>69</v>
      </c>
      <c r="D35">
        <v>105.89</v>
      </c>
      <c r="E35" s="30">
        <f>B35*D35</f>
        <v>3600.26</v>
      </c>
      <c r="F35">
        <v>4225.6000000000004</v>
      </c>
      <c r="G35" s="36" t="s">
        <v>74</v>
      </c>
      <c r="H35">
        <v>40.47</v>
      </c>
      <c r="I35">
        <v>104</v>
      </c>
      <c r="J35" s="30">
        <f t="shared" si="4"/>
        <v>4208.88</v>
      </c>
      <c r="K35" s="30">
        <f t="shared" si="5"/>
        <v>16.720000000000255</v>
      </c>
      <c r="L35" s="37">
        <v>41565</v>
      </c>
    </row>
    <row r="36" spans="1:13" x14ac:dyDescent="0.2">
      <c r="A36" s="36"/>
      <c r="B36" s="41"/>
      <c r="E36" s="30"/>
      <c r="F36">
        <v>2122.92</v>
      </c>
      <c r="G36" s="36" t="s">
        <v>75</v>
      </c>
      <c r="H36">
        <v>42.65</v>
      </c>
      <c r="I36">
        <v>49</v>
      </c>
      <c r="J36" s="30">
        <f t="shared" si="4"/>
        <v>2089.85</v>
      </c>
      <c r="K36" s="30">
        <f t="shared" si="5"/>
        <v>33.070000000000164</v>
      </c>
      <c r="L36" s="37">
        <v>41565</v>
      </c>
    </row>
    <row r="37" spans="1:13" x14ac:dyDescent="0.2">
      <c r="A37" s="36"/>
      <c r="B37" s="41"/>
      <c r="E37" s="30"/>
      <c r="F37">
        <v>2139.5700000000002</v>
      </c>
      <c r="G37" s="36" t="s">
        <v>76</v>
      </c>
      <c r="H37">
        <v>50.31</v>
      </c>
      <c r="I37">
        <v>42</v>
      </c>
      <c r="J37" s="30">
        <f t="shared" si="4"/>
        <v>2113.02</v>
      </c>
      <c r="K37" s="30">
        <f t="shared" si="5"/>
        <v>26.550000000000182</v>
      </c>
      <c r="L37" s="37">
        <v>41565</v>
      </c>
    </row>
    <row r="38" spans="1:13" x14ac:dyDescent="0.2">
      <c r="E38" s="30">
        <f>SUM(E32:E35)+27.37</f>
        <v>18721.780000000002</v>
      </c>
      <c r="J38" s="30">
        <f>SUM(J32:J37)</f>
        <v>18695.23</v>
      </c>
      <c r="M38" s="30">
        <f>E38-J38</f>
        <v>26.55000000000291</v>
      </c>
    </row>
    <row r="40" spans="1:13" x14ac:dyDescent="0.2">
      <c r="A40" s="36" t="s">
        <v>49</v>
      </c>
      <c r="B40" s="41">
        <v>47</v>
      </c>
      <c r="C40" s="18" t="s">
        <v>59</v>
      </c>
      <c r="D40">
        <v>50.756399999999999</v>
      </c>
      <c r="E40">
        <f>B40*D40+20.74</f>
        <v>2406.2907999999998</v>
      </c>
      <c r="F40">
        <f>E47*0.2</f>
        <v>2917.3041600000001</v>
      </c>
      <c r="G40" s="36" t="s">
        <v>66</v>
      </c>
      <c r="H40">
        <v>19.329999999999998</v>
      </c>
      <c r="I40">
        <v>150</v>
      </c>
      <c r="J40" s="30">
        <f>I40*H40</f>
        <v>2899.4999999999995</v>
      </c>
      <c r="K40" s="30">
        <f>F40-J40</f>
        <v>17.804160000000593</v>
      </c>
      <c r="L40" s="37">
        <v>41031</v>
      </c>
    </row>
    <row r="41" spans="1:13" x14ac:dyDescent="0.2">
      <c r="A41" s="36" t="s">
        <v>49</v>
      </c>
      <c r="B41" s="41">
        <v>55</v>
      </c>
      <c r="C41" s="40" t="s">
        <v>32</v>
      </c>
      <c r="D41">
        <v>22.35</v>
      </c>
      <c r="E41">
        <f t="shared" ref="E41:E46" si="6">B41*D41</f>
        <v>1229.25</v>
      </c>
      <c r="F41">
        <f>E47*0.2</f>
        <v>2917.3041600000001</v>
      </c>
      <c r="G41" s="36" t="s">
        <v>67</v>
      </c>
      <c r="H41">
        <v>18.100000000000001</v>
      </c>
      <c r="I41">
        <v>161</v>
      </c>
      <c r="J41" s="30">
        <f>I41*H41</f>
        <v>2914.1000000000004</v>
      </c>
      <c r="K41" s="30">
        <f>F41-J41</f>
        <v>3.2041599999997743</v>
      </c>
      <c r="L41" s="37">
        <v>41031</v>
      </c>
    </row>
    <row r="42" spans="1:13" x14ac:dyDescent="0.2">
      <c r="A42" s="36" t="s">
        <v>49</v>
      </c>
      <c r="B42" s="41">
        <v>47</v>
      </c>
      <c r="C42" s="40" t="s">
        <v>63</v>
      </c>
      <c r="D42">
        <v>28.21</v>
      </c>
      <c r="E42">
        <f t="shared" si="6"/>
        <v>1325.8700000000001</v>
      </c>
      <c r="F42">
        <f>0.42*E47</f>
        <v>6126.3387359999997</v>
      </c>
      <c r="G42" s="36" t="s">
        <v>68</v>
      </c>
      <c r="H42">
        <v>14.05</v>
      </c>
      <c r="I42">
        <v>436</v>
      </c>
      <c r="J42" s="30">
        <f>I42*H42</f>
        <v>6125.8</v>
      </c>
      <c r="K42" s="30">
        <f>F42-J42</f>
        <v>0.53873599999951693</v>
      </c>
      <c r="L42" s="37">
        <v>41031</v>
      </c>
    </row>
    <row r="43" spans="1:13" x14ac:dyDescent="0.2">
      <c r="A43" s="36" t="s">
        <v>49</v>
      </c>
      <c r="B43" s="41">
        <v>28</v>
      </c>
      <c r="C43" s="18" t="s">
        <v>56</v>
      </c>
      <c r="D43">
        <v>42.74</v>
      </c>
      <c r="E43">
        <f t="shared" si="6"/>
        <v>1196.72</v>
      </c>
      <c r="F43">
        <f>0.18*E47</f>
        <v>2625.5737439999998</v>
      </c>
      <c r="G43" s="36" t="s">
        <v>69</v>
      </c>
      <c r="H43">
        <v>77.56</v>
      </c>
      <c r="I43">
        <v>34</v>
      </c>
      <c r="J43" s="30">
        <f>I43*H43</f>
        <v>2637.04</v>
      </c>
      <c r="K43" s="30">
        <f>F43-J43</f>
        <v>-11.466256000000158</v>
      </c>
      <c r="L43" s="37">
        <v>41031</v>
      </c>
    </row>
    <row r="44" spans="1:13" x14ac:dyDescent="0.2">
      <c r="A44" s="36" t="s">
        <v>49</v>
      </c>
      <c r="B44" s="41">
        <v>66</v>
      </c>
      <c r="C44" s="18" t="s">
        <v>34</v>
      </c>
      <c r="D44">
        <v>49.27</v>
      </c>
      <c r="E44">
        <f t="shared" si="6"/>
        <v>3251.82</v>
      </c>
    </row>
    <row r="45" spans="1:13" x14ac:dyDescent="0.2">
      <c r="A45" s="36" t="s">
        <v>49</v>
      </c>
      <c r="B45" s="41">
        <v>49</v>
      </c>
      <c r="C45" s="18" t="s">
        <v>35</v>
      </c>
      <c r="D45">
        <v>69.930000000000007</v>
      </c>
      <c r="E45">
        <f t="shared" si="6"/>
        <v>3426.57</v>
      </c>
    </row>
    <row r="46" spans="1:13" x14ac:dyDescent="0.2">
      <c r="A46" s="36" t="s">
        <v>49</v>
      </c>
      <c r="B46" s="41">
        <v>35</v>
      </c>
      <c r="C46" s="18" t="s">
        <v>36</v>
      </c>
      <c r="D46">
        <v>50</v>
      </c>
      <c r="E46">
        <f t="shared" si="6"/>
        <v>1750</v>
      </c>
    </row>
    <row r="47" spans="1:13" x14ac:dyDescent="0.2">
      <c r="A47" s="36"/>
      <c r="B47" s="41"/>
      <c r="C47" s="18"/>
      <c r="E47">
        <f>SUM(E40:E46)</f>
        <v>14586.5208</v>
      </c>
      <c r="F47">
        <f>SUM(F40:F46)</f>
        <v>14586.5208</v>
      </c>
      <c r="J47">
        <f>SUM(J40:J46)</f>
        <v>14576.440000000002</v>
      </c>
      <c r="K47" s="30">
        <f>SUM(K40:K46)</f>
        <v>10.080799999999726</v>
      </c>
      <c r="L47" s="37">
        <v>41031</v>
      </c>
    </row>
    <row r="49" spans="1:12" x14ac:dyDescent="0.2">
      <c r="A49" s="36" t="s">
        <v>49</v>
      </c>
      <c r="B49" s="4">
        <v>26</v>
      </c>
      <c r="C49" s="18" t="s">
        <v>31</v>
      </c>
      <c r="D49">
        <v>48.63</v>
      </c>
      <c r="E49">
        <f>B49*D49+5.62</f>
        <v>1270</v>
      </c>
      <c r="F49">
        <f>E49</f>
        <v>1270</v>
      </c>
      <c r="G49" s="36" t="s">
        <v>32</v>
      </c>
      <c r="H49">
        <v>22.85</v>
      </c>
      <c r="I49">
        <v>55</v>
      </c>
      <c r="J49" s="30">
        <f>I49*H49</f>
        <v>1256.75</v>
      </c>
      <c r="K49" s="30">
        <f>(E49+9.03)-J49</f>
        <v>22.279999999999973</v>
      </c>
      <c r="L49" s="37">
        <v>40463</v>
      </c>
    </row>
    <row r="50" spans="1:12" x14ac:dyDescent="0.2">
      <c r="A50" s="36" t="s">
        <v>49</v>
      </c>
      <c r="B50" s="4">
        <v>57</v>
      </c>
      <c r="C50" s="18" t="s">
        <v>62</v>
      </c>
      <c r="D50">
        <v>23.43</v>
      </c>
      <c r="E50" s="30">
        <f>B50*D50+K49</f>
        <v>1357.79</v>
      </c>
      <c r="F50">
        <f>E50</f>
        <v>1357.79</v>
      </c>
      <c r="G50" s="36" t="s">
        <v>63</v>
      </c>
      <c r="H50">
        <v>28.64</v>
      </c>
      <c r="I50">
        <v>47</v>
      </c>
      <c r="J50" s="30">
        <f>I50*H50</f>
        <v>1346.08</v>
      </c>
      <c r="K50" s="30">
        <f>(E50+9.03)-J50</f>
        <v>20.740000000000009</v>
      </c>
      <c r="L50" s="37">
        <v>40463</v>
      </c>
    </row>
    <row r="52" spans="1:12" x14ac:dyDescent="0.2">
      <c r="A52" s="36" t="s">
        <v>49</v>
      </c>
      <c r="B52">
        <v>76</v>
      </c>
      <c r="C52" t="s">
        <v>54</v>
      </c>
      <c r="D52">
        <v>27.95</v>
      </c>
      <c r="E52">
        <f>B52*D52</f>
        <v>2124.1999999999998</v>
      </c>
      <c r="F52">
        <f>E52+17.55</f>
        <v>2141.75</v>
      </c>
      <c r="G52" t="s">
        <v>59</v>
      </c>
      <c r="H52">
        <v>44.8</v>
      </c>
      <c r="I52">
        <v>47</v>
      </c>
      <c r="J52" s="30">
        <f>I52*H52</f>
        <v>2105.6</v>
      </c>
      <c r="K52" s="30">
        <f>(E52+9.03)-J52</f>
        <v>27.630000000000109</v>
      </c>
      <c r="L52" s="37">
        <v>40352</v>
      </c>
    </row>
    <row r="53" spans="1:12" x14ac:dyDescent="0.2">
      <c r="B53">
        <v>33</v>
      </c>
      <c r="C53" t="s">
        <v>60</v>
      </c>
      <c r="D53">
        <v>34.450000000000003</v>
      </c>
      <c r="E53">
        <f>B53*D53</f>
        <v>1136.8500000000001</v>
      </c>
      <c r="F53" s="30">
        <f>E53+K52</f>
        <v>1164.4800000000002</v>
      </c>
      <c r="G53" t="s">
        <v>31</v>
      </c>
      <c r="H53">
        <v>43.62</v>
      </c>
      <c r="I53" s="30">
        <v>26</v>
      </c>
      <c r="J53" s="30">
        <f>I53*H53</f>
        <v>1134.1199999999999</v>
      </c>
      <c r="K53" s="30">
        <f>(E53+9.03)-J53</f>
        <v>11.760000000000218</v>
      </c>
      <c r="L53" s="37">
        <v>40352</v>
      </c>
    </row>
    <row r="54" spans="1:12" x14ac:dyDescent="0.2">
      <c r="B54">
        <v>55</v>
      </c>
      <c r="C54" s="36" t="s">
        <v>61</v>
      </c>
      <c r="D54">
        <v>20.23</v>
      </c>
      <c r="E54">
        <f>B54*D54</f>
        <v>1112.6500000000001</v>
      </c>
      <c r="F54" s="30">
        <f>E54+K53</f>
        <v>1124.4100000000003</v>
      </c>
      <c r="G54" s="36" t="s">
        <v>62</v>
      </c>
      <c r="H54">
        <v>19.579999999999998</v>
      </c>
      <c r="I54" s="30">
        <v>57</v>
      </c>
      <c r="J54" s="30">
        <f>I54*H54</f>
        <v>1116.06</v>
      </c>
      <c r="K54" s="30">
        <f>(E54+9.03)-J54</f>
        <v>5.6200000000001182</v>
      </c>
      <c r="L54" s="37">
        <v>40352</v>
      </c>
    </row>
    <row r="56" spans="1:12" x14ac:dyDescent="0.2">
      <c r="A56" s="36" t="s">
        <v>49</v>
      </c>
      <c r="B56">
        <v>17</v>
      </c>
      <c r="C56" s="36" t="s">
        <v>35</v>
      </c>
      <c r="D56">
        <v>47.58</v>
      </c>
      <c r="E56">
        <f>B56*D56</f>
        <v>808.86</v>
      </c>
      <c r="F56" s="30">
        <f>(9.03+E56)*0.313</f>
        <v>255.99957000000001</v>
      </c>
      <c r="G56" s="36" t="s">
        <v>55</v>
      </c>
      <c r="H56">
        <v>36.450000000000003</v>
      </c>
      <c r="I56" s="39">
        <v>7</v>
      </c>
      <c r="J56" s="30">
        <f>I56*H56</f>
        <v>255.15000000000003</v>
      </c>
      <c r="K56" s="30">
        <f>(E56+9.03)-J56</f>
        <v>562.74</v>
      </c>
      <c r="L56" s="37">
        <v>40248</v>
      </c>
    </row>
    <row r="57" spans="1:12" x14ac:dyDescent="0.2">
      <c r="F57" s="30">
        <f>(9.03+E56)*0.188</f>
        <v>153.76331999999999</v>
      </c>
      <c r="G57" s="36" t="s">
        <v>32</v>
      </c>
      <c r="H57">
        <v>21.53</v>
      </c>
      <c r="I57" s="38">
        <v>7</v>
      </c>
      <c r="J57" s="30">
        <f>I57*H57</f>
        <v>150.71</v>
      </c>
      <c r="K57" s="30">
        <f>K56-J57</f>
        <v>412.03</v>
      </c>
      <c r="L57" s="37">
        <v>40248</v>
      </c>
    </row>
    <row r="58" spans="1:12" x14ac:dyDescent="0.2">
      <c r="F58" s="30">
        <f>(9.03+E56)*0.375</f>
        <v>306.70875000000001</v>
      </c>
      <c r="G58" s="36" t="s">
        <v>54</v>
      </c>
      <c r="H58">
        <v>31.2</v>
      </c>
      <c r="I58" s="39">
        <v>10</v>
      </c>
      <c r="J58" s="30">
        <f>I58*H58</f>
        <v>312</v>
      </c>
      <c r="K58" s="30">
        <f>K57-J58</f>
        <v>100.02999999999997</v>
      </c>
      <c r="L58" s="37">
        <v>40248</v>
      </c>
    </row>
    <row r="59" spans="1:12" x14ac:dyDescent="0.2">
      <c r="F59" s="30">
        <v>100.02999999999997</v>
      </c>
      <c r="G59" s="36" t="s">
        <v>56</v>
      </c>
      <c r="H59">
        <v>41.24</v>
      </c>
      <c r="I59" s="39">
        <v>2</v>
      </c>
      <c r="J59" s="30">
        <f>I59*H59</f>
        <v>82.48</v>
      </c>
      <c r="K59" s="30">
        <f>K58-J59</f>
        <v>17.549999999999969</v>
      </c>
      <c r="L59" s="37">
        <v>40248</v>
      </c>
    </row>
    <row r="61" spans="1:12" x14ac:dyDescent="0.2">
      <c r="A61" s="36" t="s">
        <v>49</v>
      </c>
      <c r="B61">
        <v>37</v>
      </c>
      <c r="C61" s="36" t="s">
        <v>50</v>
      </c>
      <c r="D61">
        <v>36.590000000000003</v>
      </c>
      <c r="E61">
        <f>B61*D61</f>
        <v>1353.8300000000002</v>
      </c>
      <c r="F61">
        <f>Sheet2!E61+15.54</f>
        <v>1369.3700000000001</v>
      </c>
      <c r="G61" s="36" t="s">
        <v>54</v>
      </c>
      <c r="H61">
        <v>23.64</v>
      </c>
      <c r="I61">
        <v>66</v>
      </c>
      <c r="J61">
        <f>H61*I61</f>
        <v>1560.24</v>
      </c>
      <c r="K61">
        <f>E65-J61</f>
        <v>1937.7900000000002</v>
      </c>
      <c r="L61" s="37">
        <v>39988</v>
      </c>
    </row>
    <row r="62" spans="1:12" x14ac:dyDescent="0.2">
      <c r="A62" s="36" t="s">
        <v>49</v>
      </c>
      <c r="B62">
        <v>37</v>
      </c>
      <c r="C62" s="36" t="s">
        <v>51</v>
      </c>
      <c r="D62">
        <v>23.1</v>
      </c>
      <c r="E62">
        <f>B62*D62</f>
        <v>854.7</v>
      </c>
      <c r="F62" s="30">
        <f>E65*0.226</f>
        <v>790.55478000000005</v>
      </c>
      <c r="G62" s="36" t="s">
        <v>55</v>
      </c>
      <c r="H62">
        <v>30.21</v>
      </c>
      <c r="I62" s="38">
        <v>26</v>
      </c>
      <c r="J62">
        <f>H62*I62</f>
        <v>785.46</v>
      </c>
      <c r="K62">
        <f>K61-J62</f>
        <v>1152.3300000000002</v>
      </c>
      <c r="L62" s="37">
        <v>39988</v>
      </c>
    </row>
    <row r="63" spans="1:12" x14ac:dyDescent="0.2">
      <c r="A63" s="36" t="s">
        <v>49</v>
      </c>
      <c r="B63">
        <v>24</v>
      </c>
      <c r="C63" s="36" t="s">
        <v>52</v>
      </c>
      <c r="D63">
        <v>35.72</v>
      </c>
      <c r="E63">
        <f>B63*D63</f>
        <v>857.28</v>
      </c>
      <c r="F63" s="30">
        <f>E65*0.097</f>
        <v>339.30891000000003</v>
      </c>
      <c r="G63" s="36" t="s">
        <v>32</v>
      </c>
      <c r="H63">
        <v>16</v>
      </c>
      <c r="I63" s="38">
        <v>21</v>
      </c>
      <c r="J63">
        <f>H63*I63</f>
        <v>336</v>
      </c>
      <c r="K63">
        <f>K62-J63</f>
        <v>816.33000000000015</v>
      </c>
      <c r="L63" s="37">
        <v>39988</v>
      </c>
    </row>
    <row r="64" spans="1:12" x14ac:dyDescent="0.2">
      <c r="A64" s="36" t="s">
        <v>49</v>
      </c>
      <c r="B64">
        <v>11</v>
      </c>
      <c r="C64" s="36" t="s">
        <v>53</v>
      </c>
      <c r="D64">
        <v>37.880000000000003</v>
      </c>
      <c r="E64">
        <f>B64*D64</f>
        <v>416.68</v>
      </c>
      <c r="F64" s="30">
        <f>K63</f>
        <v>816.33000000000015</v>
      </c>
      <c r="G64" s="36" t="s">
        <v>56</v>
      </c>
      <c r="H64">
        <v>31.05</v>
      </c>
      <c r="I64" s="38">
        <v>26</v>
      </c>
      <c r="J64">
        <f>H64*I64</f>
        <v>807.30000000000007</v>
      </c>
      <c r="K64" s="30">
        <f>F64-J64</f>
        <v>9.0300000000000864</v>
      </c>
      <c r="L64" s="37">
        <v>39988</v>
      </c>
    </row>
    <row r="65" spans="1:12" x14ac:dyDescent="0.2">
      <c r="E65">
        <f>SUM(E61:E64)+15.54</f>
        <v>3498.03</v>
      </c>
      <c r="J65">
        <f>SUM(J61:J64)</f>
        <v>3489</v>
      </c>
      <c r="K65">
        <f>E65-J65</f>
        <v>9.0300000000002001</v>
      </c>
    </row>
    <row r="67" spans="1:12" x14ac:dyDescent="0.2">
      <c r="A67" s="36" t="s">
        <v>48</v>
      </c>
      <c r="B67">
        <v>28</v>
      </c>
      <c r="C67" s="36" t="s">
        <v>32</v>
      </c>
      <c r="D67">
        <v>16.87</v>
      </c>
      <c r="E67">
        <f>B67*D67</f>
        <v>472.36</v>
      </c>
      <c r="F67">
        <f>E67+10.07</f>
        <v>482.43</v>
      </c>
      <c r="G67" s="36" t="s">
        <v>31</v>
      </c>
      <c r="H67">
        <v>36.58</v>
      </c>
      <c r="I67">
        <v>13</v>
      </c>
      <c r="J67">
        <f>H67*I67</f>
        <v>475.53999999999996</v>
      </c>
      <c r="K67">
        <f>F67-J67</f>
        <v>6.8900000000000432</v>
      </c>
      <c r="L67" s="37">
        <v>39961</v>
      </c>
    </row>
    <row r="68" spans="1:12" x14ac:dyDescent="0.2">
      <c r="A68" s="36" t="s">
        <v>48</v>
      </c>
      <c r="B68">
        <v>11</v>
      </c>
      <c r="C68" s="36" t="s">
        <v>33</v>
      </c>
      <c r="D68">
        <v>39.65</v>
      </c>
      <c r="E68">
        <f>B68*D68</f>
        <v>436.15</v>
      </c>
      <c r="F68">
        <f>E68+K67</f>
        <v>443.04</v>
      </c>
      <c r="G68" s="36" t="s">
        <v>30</v>
      </c>
      <c r="H68">
        <v>22.5</v>
      </c>
      <c r="I68">
        <v>19</v>
      </c>
      <c r="J68">
        <f>H68*I68</f>
        <v>427.5</v>
      </c>
      <c r="K68">
        <f>F68-J68</f>
        <v>15.54000000000002</v>
      </c>
      <c r="L68" s="37">
        <v>39961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selection activeCell="C2" sqref="C2:C8"/>
    </sheetView>
  </sheetViews>
  <sheetFormatPr defaultRowHeight="12.75" x14ac:dyDescent="0.2"/>
  <sheetData>
    <row r="1" spans="1:3" x14ac:dyDescent="0.2">
      <c r="A1" s="37">
        <v>40016</v>
      </c>
      <c r="B1" s="37">
        <v>40017</v>
      </c>
      <c r="C1" s="36" t="s">
        <v>57</v>
      </c>
    </row>
    <row r="2" spans="1:3" x14ac:dyDescent="0.2">
      <c r="A2" s="31">
        <v>26.69</v>
      </c>
      <c r="B2">
        <v>26.76</v>
      </c>
      <c r="C2">
        <f>B2-A2</f>
        <v>7.0000000000000284E-2</v>
      </c>
    </row>
    <row r="3" spans="1:3" x14ac:dyDescent="0.2">
      <c r="A3" s="31">
        <v>31.85</v>
      </c>
      <c r="B3">
        <v>31.75</v>
      </c>
      <c r="C3">
        <f t="shared" ref="C3:C8" si="0">B3-A3</f>
        <v>-0.10000000000000142</v>
      </c>
    </row>
    <row r="4" spans="1:3" x14ac:dyDescent="0.2">
      <c r="A4" s="31">
        <v>18.89</v>
      </c>
      <c r="B4">
        <v>18.899999999999999</v>
      </c>
      <c r="C4">
        <f t="shared" si="0"/>
        <v>9.9999999999980105E-3</v>
      </c>
    </row>
    <row r="5" spans="1:3" x14ac:dyDescent="0.2">
      <c r="A5" s="31">
        <v>34.86</v>
      </c>
      <c r="B5">
        <v>35.090000000000003</v>
      </c>
      <c r="C5">
        <f t="shared" si="0"/>
        <v>0.23000000000000398</v>
      </c>
    </row>
    <row r="6" spans="1:3" x14ac:dyDescent="0.2">
      <c r="A6" s="31">
        <v>25.27</v>
      </c>
      <c r="B6">
        <v>25.4</v>
      </c>
      <c r="C6">
        <f t="shared" si="0"/>
        <v>0.12999999999999901</v>
      </c>
    </row>
    <row r="7" spans="1:3" x14ac:dyDescent="0.2">
      <c r="A7" s="31">
        <v>31</v>
      </c>
      <c r="B7">
        <v>31.27</v>
      </c>
      <c r="C7">
        <f t="shared" si="0"/>
        <v>0.26999999999999957</v>
      </c>
    </row>
    <row r="8" spans="1:3" x14ac:dyDescent="0.2">
      <c r="A8" s="31">
        <v>24.05</v>
      </c>
      <c r="B8">
        <v>24.18</v>
      </c>
      <c r="C8">
        <f t="shared" si="0"/>
        <v>0.12999999999999901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David Buss</dc:creator>
  <cp:lastModifiedBy>W David Buss</cp:lastModifiedBy>
  <cp:lastPrinted>2007-02-26T23:07:07Z</cp:lastPrinted>
  <dcterms:created xsi:type="dcterms:W3CDTF">2006-01-01T18:10:49Z</dcterms:created>
  <dcterms:modified xsi:type="dcterms:W3CDTF">2021-10-05T01:50:38Z</dcterms:modified>
</cp:coreProperties>
</file>